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tavadze.EMSC0\Desktop\"/>
    </mc:Choice>
  </mc:AlternateContent>
  <bookViews>
    <workbookView xWindow="0" yWindow="0" windowWidth="28800" windowHeight="12135"/>
  </bookViews>
  <sheets>
    <sheet name="30.05.2018" sheetId="1" r:id="rId1"/>
  </sheets>
  <externalReferences>
    <externalReference r:id="rId2"/>
  </externalReferences>
  <definedNames>
    <definedName name="_xlnm._FilterDatabase" localSheetId="0" hidden="1">'30.05.2018'!$A$5:$Q$134</definedName>
    <definedName name="_xlnm.Print_Area" localSheetId="0">'30.05.2018'!$A$1:$J$220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8" i="1" l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Q215" i="1" s="1"/>
  <c r="P214" i="1"/>
  <c r="O214" i="1"/>
  <c r="N214" i="1"/>
  <c r="N211" i="1" s="1"/>
  <c r="M214" i="1"/>
  <c r="L214" i="1"/>
  <c r="K214" i="1"/>
  <c r="P213" i="1"/>
  <c r="O213" i="1"/>
  <c r="O211" i="1" s="1"/>
  <c r="N213" i="1"/>
  <c r="M213" i="1"/>
  <c r="L213" i="1"/>
  <c r="K213" i="1"/>
  <c r="I211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F204" i="1"/>
  <c r="P203" i="1"/>
  <c r="O203" i="1"/>
  <c r="N203" i="1"/>
  <c r="M203" i="1"/>
  <c r="L203" i="1"/>
  <c r="K203" i="1"/>
  <c r="Q203" i="1" s="1"/>
  <c r="F203" i="1"/>
  <c r="P202" i="1"/>
  <c r="O202" i="1"/>
  <c r="N202" i="1"/>
  <c r="M202" i="1"/>
  <c r="L202" i="1"/>
  <c r="K202" i="1"/>
  <c r="F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Q200" i="1" s="1"/>
  <c r="P199" i="1"/>
  <c r="O199" i="1"/>
  <c r="N199" i="1"/>
  <c r="M199" i="1"/>
  <c r="Q199" i="1" s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F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F186" i="1"/>
  <c r="P185" i="1"/>
  <c r="O185" i="1"/>
  <c r="N185" i="1"/>
  <c r="M185" i="1"/>
  <c r="L185" i="1"/>
  <c r="K185" i="1"/>
  <c r="P184" i="1"/>
  <c r="O184" i="1"/>
  <c r="N184" i="1"/>
  <c r="M184" i="1"/>
  <c r="Q184" i="1" s="1"/>
  <c r="L184" i="1"/>
  <c r="K184" i="1"/>
  <c r="F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F180" i="1"/>
  <c r="Q180" i="1" s="1"/>
  <c r="P179" i="1"/>
  <c r="O179" i="1"/>
  <c r="N179" i="1"/>
  <c r="M179" i="1"/>
  <c r="L179" i="1"/>
  <c r="K179" i="1"/>
  <c r="F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F175" i="1"/>
  <c r="P174" i="1"/>
  <c r="O174" i="1"/>
  <c r="N174" i="1"/>
  <c r="M174" i="1"/>
  <c r="L174" i="1"/>
  <c r="K174" i="1"/>
  <c r="F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F172" i="1"/>
  <c r="Q172" i="1" s="1"/>
  <c r="P171" i="1"/>
  <c r="O171" i="1"/>
  <c r="N171" i="1"/>
  <c r="M171" i="1"/>
  <c r="L171" i="1"/>
  <c r="K171" i="1"/>
  <c r="F171" i="1"/>
  <c r="P170" i="1"/>
  <c r="O170" i="1"/>
  <c r="N170" i="1"/>
  <c r="M170" i="1"/>
  <c r="L170" i="1"/>
  <c r="K170" i="1"/>
  <c r="F170" i="1"/>
  <c r="P169" i="1"/>
  <c r="O169" i="1"/>
  <c r="N169" i="1"/>
  <c r="M169" i="1"/>
  <c r="L169" i="1"/>
  <c r="K169" i="1"/>
  <c r="P168" i="1"/>
  <c r="O168" i="1"/>
  <c r="N168" i="1"/>
  <c r="M168" i="1"/>
  <c r="Q168" i="1" s="1"/>
  <c r="L168" i="1"/>
  <c r="K168" i="1"/>
  <c r="F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F164" i="1"/>
  <c r="Q164" i="1" s="1"/>
  <c r="P163" i="1"/>
  <c r="O163" i="1"/>
  <c r="N163" i="1"/>
  <c r="M163" i="1"/>
  <c r="Q163" i="1" s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F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F159" i="1"/>
  <c r="Q159" i="1" s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Q156" i="1" s="1"/>
  <c r="L156" i="1"/>
  <c r="K156" i="1"/>
  <c r="P155" i="1"/>
  <c r="O155" i="1"/>
  <c r="N155" i="1"/>
  <c r="M155" i="1"/>
  <c r="L155" i="1"/>
  <c r="K155" i="1"/>
  <c r="Q155" i="1" s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Q152" i="1" s="1"/>
  <c r="L152" i="1"/>
  <c r="K152" i="1"/>
  <c r="P151" i="1"/>
  <c r="O151" i="1"/>
  <c r="N151" i="1"/>
  <c r="M151" i="1"/>
  <c r="L151" i="1"/>
  <c r="K151" i="1"/>
  <c r="Q151" i="1" s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Q148" i="1" s="1"/>
  <c r="L148" i="1"/>
  <c r="K148" i="1"/>
  <c r="F148" i="1"/>
  <c r="P147" i="1"/>
  <c r="O147" i="1"/>
  <c r="N147" i="1"/>
  <c r="M147" i="1"/>
  <c r="L147" i="1"/>
  <c r="K147" i="1"/>
  <c r="F147" i="1"/>
  <c r="P146" i="1"/>
  <c r="O146" i="1"/>
  <c r="N146" i="1"/>
  <c r="M146" i="1"/>
  <c r="L146" i="1"/>
  <c r="K146" i="1"/>
  <c r="F146" i="1"/>
  <c r="P145" i="1"/>
  <c r="O145" i="1"/>
  <c r="N145" i="1"/>
  <c r="M145" i="1"/>
  <c r="L145" i="1"/>
  <c r="K145" i="1"/>
  <c r="F145" i="1"/>
  <c r="P144" i="1"/>
  <c r="O144" i="1"/>
  <c r="N144" i="1"/>
  <c r="M144" i="1"/>
  <c r="Q144" i="1" s="1"/>
  <c r="L144" i="1"/>
  <c r="K144" i="1"/>
  <c r="P143" i="1"/>
  <c r="O143" i="1"/>
  <c r="O141" i="1" s="1"/>
  <c r="N143" i="1"/>
  <c r="M143" i="1"/>
  <c r="L143" i="1"/>
  <c r="K143" i="1"/>
  <c r="Q143" i="1" s="1"/>
  <c r="I141" i="1"/>
  <c r="P134" i="1"/>
  <c r="O134" i="1"/>
  <c r="N134" i="1"/>
  <c r="M134" i="1"/>
  <c r="L134" i="1"/>
  <c r="K134" i="1"/>
  <c r="F134" i="1"/>
  <c r="P133" i="1"/>
  <c r="O133" i="1"/>
  <c r="N133" i="1"/>
  <c r="M133" i="1"/>
  <c r="L133" i="1"/>
  <c r="K133" i="1"/>
  <c r="F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F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Q126" i="1" s="1"/>
  <c r="L126" i="1"/>
  <c r="K126" i="1"/>
  <c r="P125" i="1"/>
  <c r="O125" i="1"/>
  <c r="N125" i="1"/>
  <c r="M125" i="1"/>
  <c r="L125" i="1"/>
  <c r="K125" i="1"/>
  <c r="F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O104" i="1"/>
  <c r="N104" i="1"/>
  <c r="M104" i="1"/>
  <c r="L104" i="1"/>
  <c r="K104" i="1"/>
  <c r="P103" i="1"/>
  <c r="O103" i="1"/>
  <c r="N103" i="1"/>
  <c r="M103" i="1"/>
  <c r="L103" i="1"/>
  <c r="K103" i="1"/>
  <c r="F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F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Q80" i="1" s="1"/>
  <c r="L80" i="1"/>
  <c r="K80" i="1"/>
  <c r="F80" i="1"/>
  <c r="P79" i="1"/>
  <c r="O79" i="1"/>
  <c r="N79" i="1"/>
  <c r="M79" i="1"/>
  <c r="L79" i="1"/>
  <c r="K79" i="1"/>
  <c r="F79" i="1"/>
  <c r="P78" i="1"/>
  <c r="O78" i="1"/>
  <c r="N78" i="1"/>
  <c r="M78" i="1"/>
  <c r="L78" i="1"/>
  <c r="K78" i="1"/>
  <c r="F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F75" i="1"/>
  <c r="Q75" i="1" s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Q70" i="1" s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Q67" i="1" s="1"/>
  <c r="P66" i="1"/>
  <c r="O66" i="1"/>
  <c r="N66" i="1"/>
  <c r="M66" i="1"/>
  <c r="Q66" i="1" s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Q60" i="1" s="1"/>
  <c r="L60" i="1"/>
  <c r="K60" i="1"/>
  <c r="P59" i="1"/>
  <c r="O59" i="1"/>
  <c r="N59" i="1"/>
  <c r="M59" i="1"/>
  <c r="L59" i="1"/>
  <c r="K59" i="1"/>
  <c r="Q59" i="1" s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Q54" i="1" s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Q51" i="1" s="1"/>
  <c r="P50" i="1"/>
  <c r="O50" i="1"/>
  <c r="N50" i="1"/>
  <c r="M50" i="1"/>
  <c r="L50" i="1"/>
  <c r="K50" i="1"/>
  <c r="F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F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Q40" i="1" s="1"/>
  <c r="P39" i="1"/>
  <c r="O39" i="1"/>
  <c r="N39" i="1"/>
  <c r="M39" i="1"/>
  <c r="Q39" i="1" s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Q31" i="1" s="1"/>
  <c r="L31" i="1"/>
  <c r="K31" i="1"/>
  <c r="P30" i="1"/>
  <c r="O30" i="1"/>
  <c r="N30" i="1"/>
  <c r="M30" i="1"/>
  <c r="L30" i="1"/>
  <c r="K30" i="1"/>
  <c r="Q30" i="1" s="1"/>
  <c r="P29" i="1"/>
  <c r="O29" i="1"/>
  <c r="N29" i="1"/>
  <c r="M29" i="1"/>
  <c r="L29" i="1"/>
  <c r="K29" i="1"/>
  <c r="P28" i="1"/>
  <c r="O28" i="1"/>
  <c r="N28" i="1"/>
  <c r="M28" i="1"/>
  <c r="L28" i="1"/>
  <c r="K28" i="1"/>
  <c r="Q28" i="1" s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Q24" i="1" s="1"/>
  <c r="P23" i="1"/>
  <c r="O23" i="1"/>
  <c r="N23" i="1"/>
  <c r="M23" i="1"/>
  <c r="Q23" i="1" s="1"/>
  <c r="L23" i="1"/>
  <c r="K23" i="1"/>
  <c r="F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Q18" i="1" s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F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Q11" i="1" s="1"/>
  <c r="P10" i="1"/>
  <c r="O10" i="1"/>
  <c r="N10" i="1"/>
  <c r="M10" i="1"/>
  <c r="L10" i="1"/>
  <c r="K10" i="1"/>
  <c r="P9" i="1"/>
  <c r="O9" i="1"/>
  <c r="N9" i="1"/>
  <c r="M9" i="1"/>
  <c r="L9" i="1"/>
  <c r="K9" i="1"/>
  <c r="F9" i="1"/>
  <c r="P8" i="1"/>
  <c r="O8" i="1"/>
  <c r="M8" i="1"/>
  <c r="L8" i="1"/>
  <c r="K8" i="1"/>
  <c r="F8" i="1"/>
  <c r="P7" i="1"/>
  <c r="O7" i="1"/>
  <c r="N7" i="1"/>
  <c r="L7" i="1"/>
  <c r="K7" i="1"/>
  <c r="Q7" i="1" s="1"/>
  <c r="F7" i="1"/>
  <c r="P6" i="1"/>
  <c r="O6" i="1"/>
  <c r="N6" i="1"/>
  <c r="N3" i="1" s="1"/>
  <c r="M6" i="1"/>
  <c r="L6" i="1"/>
  <c r="K6" i="1"/>
  <c r="I4" i="1"/>
  <c r="Q34" i="1" l="1"/>
  <c r="K211" i="1"/>
  <c r="Q13" i="1"/>
  <c r="Q17" i="1"/>
  <c r="Q22" i="1"/>
  <c r="Q49" i="1"/>
  <c r="Q50" i="1"/>
  <c r="Q79" i="1"/>
  <c r="Q81" i="1"/>
  <c r="Q105" i="1"/>
  <c r="Q109" i="1"/>
  <c r="Q113" i="1"/>
  <c r="Q117" i="1"/>
  <c r="Q121" i="1"/>
  <c r="Q125" i="1"/>
  <c r="Q130" i="1"/>
  <c r="Q166" i="1"/>
  <c r="Q167" i="1"/>
  <c r="Q174" i="1"/>
  <c r="Q178" i="1"/>
  <c r="Q179" i="1"/>
  <c r="Q182" i="1"/>
  <c r="Q183" i="1"/>
  <c r="Q187" i="1"/>
  <c r="Q195" i="1"/>
  <c r="Q198" i="1"/>
  <c r="Q202" i="1"/>
  <c r="L3" i="1"/>
  <c r="P3" i="1"/>
  <c r="Q12" i="1"/>
  <c r="Q21" i="1"/>
  <c r="Q26" i="1"/>
  <c r="Q32" i="1"/>
  <c r="Q36" i="1"/>
  <c r="Q41" i="1"/>
  <c r="Q42" i="1"/>
  <c r="Q52" i="1"/>
  <c r="Q58" i="1"/>
  <c r="Q62" i="1"/>
  <c r="Q74" i="1"/>
  <c r="Q78" i="1"/>
  <c r="Q82" i="1"/>
  <c r="Q84" i="1"/>
  <c r="Q85" i="1"/>
  <c r="Q88" i="1"/>
  <c r="Q92" i="1"/>
  <c r="Q96" i="1"/>
  <c r="Q100" i="1"/>
  <c r="Q104" i="1"/>
  <c r="Q108" i="1"/>
  <c r="Q112" i="1"/>
  <c r="Q116" i="1"/>
  <c r="Q120" i="1"/>
  <c r="Q124" i="1"/>
  <c r="Q146" i="1"/>
  <c r="Q149" i="1"/>
  <c r="Q141" i="1" s="1"/>
  <c r="Q150" i="1"/>
  <c r="Q153" i="1"/>
  <c r="Q154" i="1"/>
  <c r="Q157" i="1"/>
  <c r="Q158" i="1"/>
  <c r="Q161" i="1"/>
  <c r="Q162" i="1"/>
  <c r="Q169" i="1"/>
  <c r="Q170" i="1"/>
  <c r="Q185" i="1"/>
  <c r="Q186" i="1"/>
  <c r="Q189" i="1"/>
  <c r="Q193" i="1"/>
  <c r="Q197" i="1"/>
  <c r="Q201" i="1"/>
  <c r="Q205" i="1"/>
  <c r="M211" i="1"/>
  <c r="Q217" i="1"/>
  <c r="Q218" i="1"/>
  <c r="O3" i="1"/>
  <c r="Q38" i="1"/>
  <c r="Q43" i="1"/>
  <c r="Q53" i="1"/>
  <c r="Q61" i="1"/>
  <c r="Q69" i="1"/>
  <c r="Q101" i="1"/>
  <c r="Q129" i="1"/>
  <c r="Q133" i="1"/>
  <c r="Q147" i="1"/>
  <c r="Q171" i="1"/>
  <c r="Q190" i="1"/>
  <c r="Q194" i="1"/>
  <c r="M3" i="1"/>
  <c r="Q10" i="1"/>
  <c r="Q14" i="1"/>
  <c r="Q25" i="1"/>
  <c r="Q33" i="1"/>
  <c r="Q44" i="1"/>
  <c r="Q57" i="1"/>
  <c r="Q64" i="1"/>
  <c r="Q65" i="1"/>
  <c r="Q68" i="1"/>
  <c r="Q73" i="1"/>
  <c r="Q8" i="1"/>
  <c r="Q19" i="1"/>
  <c r="Q27" i="1"/>
  <c r="Q35" i="1"/>
  <c r="Q45" i="1"/>
  <c r="Q47" i="1"/>
  <c r="Q48" i="1"/>
  <c r="Q56" i="1"/>
  <c r="Q72" i="1"/>
  <c r="Q76" i="1"/>
  <c r="Q77" i="1"/>
  <c r="Q87" i="1"/>
  <c r="Q91" i="1"/>
  <c r="Q95" i="1"/>
  <c r="Q99" i="1"/>
  <c r="Q131" i="1"/>
  <c r="Q132" i="1"/>
  <c r="Q145" i="1"/>
  <c r="N141" i="1"/>
  <c r="Q165" i="1"/>
  <c r="Q173" i="1"/>
  <c r="Q176" i="1"/>
  <c r="Q177" i="1"/>
  <c r="Q181" i="1"/>
  <c r="Q188" i="1"/>
  <c r="Q192" i="1"/>
  <c r="Q196" i="1"/>
  <c r="Q204" i="1"/>
  <c r="Q216" i="1"/>
  <c r="P211" i="1"/>
  <c r="M141" i="1"/>
  <c r="L211" i="1"/>
  <c r="Q213" i="1"/>
  <c r="Q15" i="1"/>
  <c r="Q29" i="1"/>
  <c r="Q46" i="1"/>
  <c r="Q63" i="1"/>
  <c r="Q83" i="1"/>
  <c r="Q86" i="1"/>
  <c r="Q90" i="1"/>
  <c r="Q93" i="1"/>
  <c r="Q98" i="1"/>
  <c r="Q102" i="1"/>
  <c r="Q107" i="1"/>
  <c r="Q110" i="1"/>
  <c r="Q115" i="1"/>
  <c r="Q118" i="1"/>
  <c r="Q123" i="1"/>
  <c r="Q127" i="1"/>
  <c r="Q175" i="1"/>
  <c r="Q214" i="1"/>
  <c r="K3" i="1"/>
  <c r="Q9" i="1"/>
  <c r="Q6" i="1"/>
  <c r="Q16" i="1"/>
  <c r="Q20" i="1"/>
  <c r="Q37" i="1"/>
  <c r="Q55" i="1"/>
  <c r="Q71" i="1"/>
  <c r="Q89" i="1"/>
  <c r="Q94" i="1"/>
  <c r="Q97" i="1"/>
  <c r="Q103" i="1"/>
  <c r="Q106" i="1"/>
  <c r="Q111" i="1"/>
  <c r="Q114" i="1"/>
  <c r="Q119" i="1"/>
  <c r="Q122" i="1"/>
  <c r="Q128" i="1"/>
  <c r="Q134" i="1"/>
  <c r="K141" i="1"/>
  <c r="L141" i="1"/>
  <c r="P141" i="1"/>
  <c r="Q160" i="1"/>
  <c r="Q191" i="1"/>
  <c r="Q211" i="1"/>
</calcChain>
</file>

<file path=xl/sharedStrings.xml><?xml version="1.0" encoding="utf-8"?>
<sst xmlns="http://schemas.openxmlformats.org/spreadsheetml/2006/main" count="879" uniqueCount="242">
  <si>
    <t>2018 წლის სახელმწიფო შესყიდვების წლიური გეგმა</t>
  </si>
  <si>
    <t>1. შედგენის თარიღი: 30/05/2018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</si>
  <si>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</si>
  <si>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</si>
  <si>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2018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</si>
  <si>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</si>
  <si>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</si>
  <si>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გამარტივებული შესყიდვა    (350106)</t>
  </si>
  <si>
    <t>გამარტივებული შესყიდვა (3503030702)</t>
  </si>
  <si>
    <t>კონსოლიდირებული (350106)</t>
  </si>
  <si>
    <t>კონსოლიდირებული (3503030702)</t>
  </si>
  <si>
    <t>ელ. ტენდერი (350106)</t>
  </si>
  <si>
    <t>ელ. ტენდერი (3503030702)</t>
  </si>
  <si>
    <t>ნაშთი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</si>
  <si>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</si>
  <si>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</si>
  <si>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</si>
  <si>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</si>
  <si>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</si>
  <si>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</si>
  <si>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</si>
  <si>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</si>
  <si>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</si>
  <si>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</si>
  <si>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</si>
  <si>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</si>
  <si>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</si>
  <si>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</si>
  <si>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</si>
  <si>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</si>
  <si>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</si>
  <si>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</si>
  <si>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</si>
  <si>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</si>
  <si>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ელ. ტენდერი</t>
  </si>
  <si>
    <t>14800000</t>
  </si>
  <si>
    <t>სხვადასხვა არალითონური მინერალური პროდუქტი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</si>
  <si>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</si>
  <si>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</si>
  <si>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</si>
  <si>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</si>
  <si>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</si>
  <si>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</si>
  <si>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</si>
  <si>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18100000</t>
  </si>
  <si>
    <t xml:space="preserve">სამუშაო ტანსაცმელი, სპეცტანსაცმელი და აქსესუარები </t>
  </si>
  <si>
    <t>18400000</t>
  </si>
  <si>
    <t xml:space="preserve">სპეციალური ტანსაცმელი და აქსესუარები </t>
  </si>
  <si>
    <t>18800000</t>
  </si>
  <si>
    <t>ფეხსაცმელი</t>
  </si>
  <si>
    <t>19600000</t>
  </si>
  <si>
    <t xml:space="preserve">ტყავის, ტექსტილის, რეზინისა და პლასტმასის ნარჩენი 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</si>
  <si>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</si>
  <si>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</si>
  <si>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</si>
  <si>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</si>
  <si>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</si>
  <si>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</si>
  <si>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</si>
  <si>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</si>
  <si>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</si>
  <si>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სასუქები და ნიტროგენული ნაერთები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</si>
  <si>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</si>
  <si>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</si>
  <si>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</si>
  <si>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</si>
  <si>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</si>
  <si>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</si>
  <si>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</si>
  <si>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31100000</t>
  </si>
  <si>
    <t>ელექტრონული 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</si>
  <si>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</si>
  <si>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</si>
  <si>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</si>
  <si>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</si>
  <si>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</si>
  <si>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</si>
  <si>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</si>
  <si>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</si>
  <si>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</si>
  <si>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</si>
  <si>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</si>
  <si>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</si>
  <si>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</si>
  <si>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</si>
  <si>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</si>
  <si>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</si>
  <si>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</si>
  <si>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</si>
  <si>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</si>
  <si>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</si>
  <si>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</si>
  <si>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</si>
  <si>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SMP180001136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</si>
  <si>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</si>
  <si>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</si>
  <si>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</si>
  <si>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</si>
  <si>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34900000</t>
  </si>
  <si>
    <t>სხვადასხვა სატრანსპორტო მოწყობილობები და სათადარიგო ნაწილები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</si>
  <si>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</si>
  <si>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</si>
  <si>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</si>
  <si>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</si>
  <si>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</si>
  <si>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</si>
  <si>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38500000</t>
  </si>
  <si>
    <t>საკონტროლო და გამოსაცდელი აპარატურა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</si>
  <si>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</si>
  <si>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</si>
  <si>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</si>
  <si>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</si>
  <si>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</si>
  <si>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</si>
  <si>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</si>
  <si>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</si>
  <si>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</si>
  <si>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</si>
  <si>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</si>
  <si>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</si>
  <si>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</si>
  <si>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</si>
  <si>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</si>
  <si>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</si>
  <si>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</si>
  <si>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</si>
  <si>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</si>
  <si>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</si>
  <si>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</si>
  <si>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</si>
  <si>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</si>
  <si>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</si>
  <si>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</si>
  <si>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</si>
  <si>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</si>
  <si>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</si>
  <si>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</si>
  <si>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</si>
  <si>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</si>
  <si>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</si>
  <si>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</si>
  <si>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45200000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</si>
  <si>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</si>
  <si>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45300000</t>
  </si>
  <si>
    <t>სარემონტო-სამონტაჟო სამუშაოები</t>
  </si>
  <si>
    <t>45400000</t>
  </si>
  <si>
    <t>შენობის დასრულების სამუშაოები</t>
  </si>
  <si>
    <t>სხვა ხარჯები</t>
  </si>
  <si>
    <t>45500000</t>
  </si>
  <si>
    <t>სამშენებლო და სამოქალაქო მშენებლობის მანქანა-დანადგარებისა და მათი ოპერატორების დაქირავება</t>
  </si>
  <si>
    <t>48400000</t>
  </si>
  <si>
    <t xml:space="preserve">საქმიანი გარიგებებისა და პირადი საქმეების მართვის პროგრამული პაკეტები </t>
  </si>
  <si>
    <t>48600000</t>
  </si>
  <si>
    <t>მონაცემთა ბაზისა და ოპერაციული პროგრამული პაკეტები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</si>
  <si>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</si>
  <si>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</si>
  <si>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</si>
  <si>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</si>
  <si>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</si>
  <si>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</si>
  <si>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</si>
  <si>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</si>
  <si>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</si>
  <si>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</si>
  <si>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</si>
  <si>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</si>
  <si>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</si>
  <si>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</si>
  <si>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</si>
  <si>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</si>
  <si>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</si>
  <si>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</si>
  <si>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</si>
  <si>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60424000</t>
  </si>
  <si>
    <t>საჰაერო ტრანსპორტის დაქირავება ეკიპაჟთან ერთად</t>
  </si>
  <si>
    <t>63500000</t>
  </si>
  <si>
    <t>ტურისტული სააგენტოების, ტუროპერატორებისა და ტურისტების დახმარების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</si>
  <si>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</si>
  <si>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</si>
  <si>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SMP180000018</t>
  </si>
  <si>
    <t>64200000</t>
  </si>
  <si>
    <t>სატელეკომუნიკაციო მომსახურებები</t>
  </si>
  <si>
    <t>66500000</t>
  </si>
  <si>
    <t>სადაზღვევო და საპენსიო მომსახურებები</t>
  </si>
  <si>
    <t>„სახელმწიფო შესყიდვების შესახებ“ საქართველოს კანონის მე-10' მუხლის მე-3 პუნქტის „ბ“ ქვეპუნქტის შესაბამისად SMP170003235</t>
  </si>
  <si>
    <t>„სახელმწიფო შესყიდვების შესახებ“ საქართველოს კანონის მე-10' მუხლის მე-3 პუნქტის „ბ“ ქვეპუნქტის შესაბამისად SMP180000699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</si>
  <si>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</si>
  <si>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</si>
  <si>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</si>
  <si>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</si>
  <si>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</si>
  <si>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</si>
  <si>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</si>
  <si>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</si>
  <si>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</si>
  <si>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</si>
  <si>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</si>
  <si>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</si>
  <si>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</si>
  <si>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</si>
  <si>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</si>
  <si>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</si>
  <si>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</si>
  <si>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</si>
  <si>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</si>
  <si>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</si>
  <si>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</si>
  <si>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SMP180000011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</si>
  <si>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</si>
  <si>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</si>
  <si>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</si>
  <si>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</si>
  <si>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</si>
  <si>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</si>
  <si>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</si>
  <si>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</si>
  <si>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</si>
  <si>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</si>
  <si>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</si>
  <si>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</si>
  <si>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</si>
  <si>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</si>
  <si>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</si>
  <si>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</si>
  <si>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</si>
  <si>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</si>
  <si>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1. შედგენის თარიღი:30/05/2018</t>
  </si>
  <si>
    <t>4. დაფინანსების წყარო: 2018 წლის საკუთარი შემოსავლები</t>
  </si>
  <si>
    <t>24200000</t>
  </si>
  <si>
    <t>საღებავები და პიგმენტები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</si>
  <si>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</si>
  <si>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</si>
  <si>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31600000</t>
  </si>
  <si>
    <t xml:space="preserve">ელექტრომოწყობილობები და აპარატურა 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</si>
  <si>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</si>
  <si>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</si>
  <si>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</si>
  <si>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</si>
  <si>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</si>
  <si>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სასადილოებისა და საზოგადოებრივი კვების საწარმოების მომსახურება</t>
  </si>
  <si>
    <t xml:space="preserve">საავტომობილო ტრანსპორტის მომსახურებები </t>
  </si>
  <si>
    <t>4. დაფინანსების წყარო: 2018 წლის გრანტი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</si>
</sst>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0000000"/>
    <numFmt numFmtId="165" formatCode="#,##0.0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000000"/>
      <name val="Sylfaen"/>
      <family val="1"/>
    </font>
    <font>
      <sz val="10"/>
      <color rgb="FF222222"/>
      <name val="Calibri"/>
      <family val="2"/>
      <scheme val="minor"/>
    </font>
    <font>
      <sz val="10"/>
      <name val="Courier New"/>
      <family val="3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2" fontId="6" fillId="0" borderId="1" xfId="2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2" fillId="0" borderId="0" xfId="3" applyFill="1"/>
    <xf numFmtId="164" fontId="6" fillId="0" borderId="1" xfId="2" applyNumberFormat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/>
    </xf>
    <xf numFmtId="2" fontId="9" fillId="0" borderId="1" xfId="2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left" vertical="center" wrapText="1"/>
    </xf>
    <xf numFmtId="0" fontId="6" fillId="0" borderId="1" xfId="3" applyFont="1" applyFill="1" applyBorder="1" applyAlignment="1" applyProtection="1">
      <alignment horizontal="center" vertical="center" wrapText="1" readingOrder="2"/>
      <protection locked="0"/>
    </xf>
    <xf numFmtId="0" fontId="6" fillId="0" borderId="1" xfId="2" applyFont="1" applyFill="1" applyBorder="1" applyAlignment="1">
      <alignment horizontal="center" vertical="center" wrapText="1"/>
    </xf>
    <xf numFmtId="43" fontId="6" fillId="0" borderId="1" xfId="4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 readingOrder="1"/>
      <protection locked="0"/>
    </xf>
    <xf numFmtId="0" fontId="6" fillId="0" borderId="1" xfId="3" applyFont="1" applyFill="1" applyBorder="1" applyAlignment="1">
      <alignment vertical="center" wrapText="1"/>
    </xf>
    <xf numFmtId="43" fontId="6" fillId="0" borderId="1" xfId="4" applyFont="1" applyFill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14" fontId="8" fillId="0" borderId="1" xfId="3" applyNumberFormat="1" applyFont="1" applyFill="1" applyBorder="1" applyAlignment="1">
      <alignment vertical="center"/>
    </xf>
    <xf numFmtId="43" fontId="11" fillId="0" borderId="1" xfId="3" applyNumberFormat="1" applyFont="1" applyFill="1" applyBorder="1" applyAlignment="1">
      <alignment vertical="center"/>
    </xf>
    <xf numFmtId="2" fontId="6" fillId="0" borderId="1" xfId="2" applyNumberFormat="1" applyFont="1" applyFill="1" applyBorder="1" applyAlignment="1">
      <alignment horizontal="center" wrapText="1"/>
    </xf>
    <xf numFmtId="43" fontId="4" fillId="0" borderId="0" xfId="1" applyFont="1" applyFill="1" applyAlignment="1"/>
    <xf numFmtId="43" fontId="12" fillId="0" borderId="1" xfId="3" applyNumberFormat="1" applyFont="1" applyFill="1" applyBorder="1" applyAlignment="1">
      <alignment vertical="center"/>
    </xf>
    <xf numFmtId="0" fontId="11" fillId="0" borderId="1" xfId="3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2" fillId="0" borderId="0" xfId="3" applyNumberFormat="1" applyFill="1"/>
    <xf numFmtId="0" fontId="6" fillId="0" borderId="1" xfId="3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/>
    </xf>
    <xf numFmtId="0" fontId="11" fillId="0" borderId="0" xfId="0" applyFont="1" applyFill="1"/>
    <xf numFmtId="0" fontId="13" fillId="0" borderId="0" xfId="0" applyFont="1" applyFill="1"/>
    <xf numFmtId="49" fontId="6" fillId="0" borderId="1" xfId="3" applyNumberFormat="1" applyFont="1" applyFill="1" applyBorder="1" applyAlignment="1" applyProtection="1">
      <alignment horizontal="left" vertical="center"/>
    </xf>
    <xf numFmtId="0" fontId="11" fillId="0" borderId="1" xfId="3" applyFont="1" applyFill="1" applyBorder="1" applyAlignment="1">
      <alignment horizontal="left" vertical="center"/>
    </xf>
    <xf numFmtId="43" fontId="6" fillId="0" borderId="1" xfId="4" applyFont="1" applyFill="1" applyBorder="1" applyAlignment="1">
      <alignment horizontal="right" vertical="center"/>
    </xf>
    <xf numFmtId="0" fontId="11" fillId="0" borderId="1" xfId="0" applyFont="1" applyFill="1" applyBorder="1"/>
    <xf numFmtId="0" fontId="11" fillId="0" borderId="1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/>
    <xf numFmtId="0" fontId="8" fillId="0" borderId="1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horizontal="left" vertical="center" wrapText="1"/>
    </xf>
    <xf numFmtId="43" fontId="11" fillId="0" borderId="1" xfId="3" applyNumberFormat="1" applyFont="1" applyFill="1" applyBorder="1" applyAlignment="1">
      <alignment horizontal="left" vertical="center"/>
    </xf>
    <xf numFmtId="0" fontId="3" fillId="0" borderId="0" xfId="3" applyFont="1" applyFill="1"/>
    <xf numFmtId="0" fontId="15" fillId="0" borderId="0" xfId="0" applyFont="1" applyFill="1"/>
    <xf numFmtId="0" fontId="1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 wrapText="1"/>
    </xf>
    <xf numFmtId="43" fontId="6" fillId="0" borderId="1" xfId="4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left" vertical="center"/>
    </xf>
    <xf numFmtId="43" fontId="16" fillId="0" borderId="1" xfId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7" fillId="0" borderId="0" xfId="4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0" fontId="2" fillId="0" borderId="0" xfId="3" applyFill="1" applyAlignment="1"/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9" fillId="0" borderId="0" xfId="4" applyFont="1" applyFill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165" fontId="6" fillId="0" borderId="1" xfId="2" applyNumberFormat="1" applyFont="1" applyFill="1" applyBorder="1" applyAlignment="1">
      <alignment vertical="center"/>
    </xf>
    <xf numFmtId="43" fontId="9" fillId="0" borderId="1" xfId="1" applyFont="1" applyFill="1" applyBorder="1" applyAlignment="1">
      <alignment vertical="center" wrapText="1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/>
    </xf>
    <xf numFmtId="49" fontId="6" fillId="0" borderId="3" xfId="3" applyNumberFormat="1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>
      <alignment vertical="center" wrapText="1"/>
    </xf>
    <xf numFmtId="43" fontId="6" fillId="0" borderId="3" xfId="4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vertical="center"/>
    </xf>
    <xf numFmtId="14" fontId="8" fillId="0" borderId="3" xfId="3" applyNumberFormat="1" applyFont="1" applyFill="1" applyBorder="1" applyAlignment="1">
      <alignment vertical="center"/>
    </xf>
    <xf numFmtId="165" fontId="11" fillId="0" borderId="2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vertical="center"/>
    </xf>
    <xf numFmtId="43" fontId="6" fillId="0" borderId="3" xfId="4" applyFont="1" applyFill="1" applyBorder="1" applyAlignment="1">
      <alignment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3" fontId="11" fillId="0" borderId="2" xfId="3" applyNumberFormat="1" applyFont="1" applyFill="1" applyBorder="1" applyAlignment="1">
      <alignment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8" fillId="0" borderId="0" xfId="3" applyFont="1" applyFill="1" applyBorder="1" applyAlignment="1">
      <alignment vertical="center" wrapText="1"/>
    </xf>
    <xf numFmtId="49" fontId="6" fillId="0" borderId="3" xfId="3" applyNumberFormat="1" applyFont="1" applyFill="1" applyBorder="1" applyAlignment="1" applyProtection="1">
      <alignment horizontal="left" vertical="center"/>
    </xf>
    <xf numFmtId="2" fontId="11" fillId="0" borderId="2" xfId="3" applyNumberFormat="1" applyFont="1" applyFill="1" applyBorder="1" applyAlignment="1">
      <alignment vertical="center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1" fillId="0" borderId="0" xfId="3" applyFont="1" applyFill="1" applyBorder="1" applyAlignment="1">
      <alignment vertical="center"/>
    </xf>
    <xf numFmtId="0" fontId="8" fillId="0" borderId="0" xfId="3" applyFont="1" applyFill="1" applyAlignment="1"/>
    <xf numFmtId="0" fontId="8" fillId="0" borderId="0" xfId="3" applyFont="1" applyFill="1"/>
    <xf numFmtId="0" fontId="6" fillId="0" borderId="1" xfId="3" applyFont="1" applyFill="1" applyBorder="1" applyAlignment="1">
      <alignment vertical="center"/>
    </xf>
    <xf numFmtId="43" fontId="16" fillId="0" borderId="1" xfId="4" applyFont="1" applyFill="1" applyBorder="1" applyAlignment="1">
      <alignment vertical="center"/>
    </xf>
    <xf numFmtId="0" fontId="8" fillId="0" borderId="2" xfId="3" applyFont="1" applyFill="1" applyBorder="1" applyAlignment="1">
      <alignment vertical="center"/>
    </xf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2" fillId="0" borderId="0" xfId="3" applyFill="1" applyAlignment="1">
      <alignment wrapText="1"/>
    </xf>
    <xf numFmtId="43" fontId="17" fillId="0" borderId="0" xfId="4" applyFont="1" applyFill="1"/>
    <xf numFmtId="0" fontId="11" fillId="0" borderId="0" xfId="3" applyFont="1" applyFill="1"/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1" fillId="0" borderId="0" xfId="3" applyNumberFormat="1" applyFont="1" applyFill="1"/>
  </cellXfs>
  <cellStyles count="5">
    <cellStyle name="Comma" xfId="1" builtinId="3"/>
    <cellStyle name="Comma 2 2 2 2" xfId="4"/>
    <cellStyle name="Normal" xfId="0" builtinId="0"/>
    <cellStyle name="Normal 2 2" xfId="2"/>
    <cellStyle name="Normal 2 3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4320;&#4308;&#4308;&#4321;&#4322;&#4320;&#4312;%20-%20&#4306;&#4308;&#4306;&#4315;&#4304;%202018%20&#4332;\&#4320;&#4308;&#4308;&#4321;&#4322;&#4320;&#4312;%20-%20&#4306;&#4308;&#4306;&#4315;&#4304;%202018%20&#43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ამარტივებული შესყიდვა"/>
      <sheetName val="ელ. ტენდერი"/>
      <sheetName val="კონსოლიდირებული ტენდერი"/>
      <sheetName val="2018 წლის შესყიდვების გეგმა"/>
      <sheetName val="18.12.17"/>
      <sheetName val="04.01.18"/>
      <sheetName val="16.01.18"/>
      <sheetName val="22.01.18"/>
      <sheetName val="23.01.18"/>
      <sheetName val="01.02.18"/>
      <sheetName val="07.02.18"/>
      <sheetName val="26.02.18"/>
      <sheetName val="06.03.18"/>
      <sheetName val="09.03.18"/>
      <sheetName val="13.03.18"/>
      <sheetName val="29.03.18"/>
      <sheetName val="20.04.18"/>
      <sheetName val="11.05.18"/>
      <sheetName val="15.05.18"/>
      <sheetName val="18.05.18"/>
      <sheetName val="22.05.18"/>
      <sheetName val="30.05.2018"/>
    </sheetNames>
    <sheetDataSet>
      <sheetData sheetId="0">
        <row r="1">
          <cell r="K1" t="str">
            <v>CPV</v>
          </cell>
          <cell r="L1" t="str">
            <v>ღირებულება CPV-ის მიხედვით</v>
          </cell>
          <cell r="N1" t="str">
            <v xml:space="preserve">დაფინანსების წყარო </v>
          </cell>
          <cell r="O1" t="str">
            <v>პროგრამული კოდი</v>
          </cell>
          <cell r="Q1" t="str">
            <v>შესყიდვის საფუძველი</v>
          </cell>
        </row>
        <row r="2">
          <cell r="K2">
            <v>75100000</v>
          </cell>
          <cell r="L2">
            <v>2000</v>
          </cell>
          <cell r="N2" t="str">
            <v>სახელმწიფო ბიუჯეტი</v>
          </cell>
          <cell r="O2">
            <v>3503030702</v>
          </cell>
          <cell r="Q2" t="str">
            <v>მონეტარული ზღვრების დაცვით</v>
          </cell>
        </row>
        <row r="3">
          <cell r="K3" t="str">
            <v>72400000</v>
          </cell>
          <cell r="L3">
            <v>15000</v>
          </cell>
          <cell r="N3" t="str">
            <v>სახელმწიფო ბიუჯეტი</v>
          </cell>
          <cell r="O3">
            <v>350106</v>
          </cell>
          <cell r="Q3" t="str">
            <v>საქართველოს მთავრობის 2012 წლის 26 სექტემბრის  N1805 განკარგულება</v>
          </cell>
        </row>
        <row r="4">
          <cell r="K4" t="str">
            <v>72400000</v>
          </cell>
          <cell r="L4">
            <v>750</v>
          </cell>
          <cell r="N4" t="str">
            <v>სახელმწიფო ბიუჯეტი</v>
          </cell>
          <cell r="O4">
            <v>3503030702</v>
          </cell>
          <cell r="Q4" t="str">
            <v>საქართველოს მთავრობის 2012 წლის 26 სექტემბრის  N1805 განკარგულება</v>
          </cell>
        </row>
        <row r="5">
          <cell r="K5" t="str">
            <v>72400000</v>
          </cell>
          <cell r="L5">
            <v>22800</v>
          </cell>
          <cell r="N5" t="str">
            <v>სახელმწიფო ბიუჯეტი</v>
          </cell>
          <cell r="O5">
            <v>350106</v>
          </cell>
          <cell r="Q5" t="str">
            <v>საქართველოს მთავრობის 2012 წლის 26 სექტემბრის  N1805 განკარგულება</v>
          </cell>
        </row>
        <row r="6">
          <cell r="K6" t="str">
            <v>72400000</v>
          </cell>
          <cell r="L6">
            <v>2400</v>
          </cell>
          <cell r="N6" t="str">
            <v>სახელმწიფო ბიუჯეტი</v>
          </cell>
          <cell r="O6">
            <v>350106</v>
          </cell>
          <cell r="Q6" t="str">
            <v>საქართველოს მთავრობის 2012 წლის 26 სექტემბრის  N1805 განკარგულება</v>
          </cell>
        </row>
        <row r="7">
          <cell r="K7" t="str">
            <v>72400000</v>
          </cell>
          <cell r="L7">
            <v>2000</v>
          </cell>
          <cell r="N7" t="str">
            <v>სახელმწიფო ბიუჯეტი</v>
          </cell>
          <cell r="O7">
            <v>3503030702</v>
          </cell>
          <cell r="Q7" t="str">
            <v>საქართველოს მთავრობის 2012 წლის 26 სექტემბრის  N1805 განკარგულება</v>
          </cell>
        </row>
        <row r="8">
          <cell r="K8">
            <v>63700000</v>
          </cell>
          <cell r="L8">
            <v>13275</v>
          </cell>
          <cell r="N8" t="str">
            <v>სახელმწიფო ბიუჯეტი</v>
          </cell>
          <cell r="O8">
            <v>3503030702</v>
          </cell>
          <cell r="Q8" t="str">
            <v>საქართველოს მთავრობის 2012 წლის 26 სექტემბრის  N1805 განკარგულება</v>
          </cell>
        </row>
        <row r="9">
          <cell r="K9" t="str">
            <v>66500000</v>
          </cell>
          <cell r="L9">
            <v>5218.7</v>
          </cell>
          <cell r="N9" t="str">
            <v>სახელმწიფო ბიუჯეტი</v>
          </cell>
          <cell r="O9">
            <v>3503030702</v>
          </cell>
          <cell r="Q9" t="str">
            <v>„სახელმწიფო შესყიდვების შესახებ“ საქართველოს კანონის მე-10' მუხლის მე-3 პუნქტის „ბ“ ქვეპუნქტის შესაბამისად SMP170003235</v>
          </cell>
        </row>
        <row r="10">
          <cell r="K10" t="str">
            <v>09100000</v>
          </cell>
          <cell r="L10">
            <v>25400</v>
          </cell>
          <cell r="N10" t="str">
            <v>სახელმწიფო ბიუჯეტი</v>
          </cell>
          <cell r="O10">
            <v>3503030702</v>
          </cell>
          <cell r="Q10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1">
          <cell r="K11" t="str">
            <v>09100000</v>
          </cell>
          <cell r="L11">
            <v>19144</v>
          </cell>
          <cell r="N11" t="str">
            <v>სახელმწიფო ბიუჯეტი</v>
          </cell>
          <cell r="O11">
            <v>3503030702</v>
          </cell>
          <cell r="Q11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2">
          <cell r="K12" t="str">
            <v>09100000</v>
          </cell>
          <cell r="L12">
            <v>5575</v>
          </cell>
          <cell r="N12" t="str">
            <v>სახელმწიფო ბიუჯეტი</v>
          </cell>
          <cell r="O12">
            <v>3503030702</v>
          </cell>
          <cell r="Q12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3">
          <cell r="K13" t="str">
            <v>92200000</v>
          </cell>
          <cell r="L13">
            <v>360</v>
          </cell>
          <cell r="N13" t="str">
            <v>სახელმწიფო ბიუჯეტი</v>
          </cell>
          <cell r="O13">
            <v>350106</v>
          </cell>
          <cell r="Q13" t="str">
            <v>მონეტარული ზღვრების დაცვით</v>
          </cell>
        </row>
        <row r="14">
          <cell r="L14">
            <v>10000</v>
          </cell>
          <cell r="N14" t="str">
            <v>სახელმწიფო ბიუჯეტი</v>
          </cell>
          <cell r="O14">
            <v>350106</v>
          </cell>
          <cell r="Q14" t="str">
            <v>-</v>
          </cell>
        </row>
        <row r="15">
          <cell r="K15">
            <v>48600000</v>
          </cell>
          <cell r="L15">
            <v>1260</v>
          </cell>
          <cell r="N15" t="str">
            <v>სახელმწიფო ბიუჯეტი</v>
          </cell>
          <cell r="O15">
            <v>350106</v>
          </cell>
          <cell r="Q15" t="str">
            <v>მონეტარული ზღვრების დაცვით</v>
          </cell>
        </row>
        <row r="16">
          <cell r="K16" t="str">
            <v>72400000</v>
          </cell>
          <cell r="L16">
            <v>5500</v>
          </cell>
          <cell r="N16" t="str">
            <v>სახელმწიფო ბიუჯეტი</v>
          </cell>
          <cell r="O16">
            <v>3503030702</v>
          </cell>
          <cell r="Q16" t="str">
            <v>საქართველოს მთავრობის 2012 წლის 26 სექტემბრის  N1805 განკარგულება</v>
          </cell>
        </row>
        <row r="17">
          <cell r="N17" t="str">
            <v>სახელმწიფო ბიუჯეტი</v>
          </cell>
          <cell r="O17">
            <v>350106</v>
          </cell>
          <cell r="Q17" t="str">
            <v>-</v>
          </cell>
        </row>
        <row r="18">
          <cell r="K18" t="str">
            <v>75100000</v>
          </cell>
          <cell r="L18">
            <v>3000</v>
          </cell>
          <cell r="N18" t="str">
            <v>სახელმწიფო ბიუჯეტი</v>
          </cell>
          <cell r="O18">
            <v>3503030702</v>
          </cell>
          <cell r="Q18" t="str">
            <v>მონეტარული ზღვრების დაცვით</v>
          </cell>
        </row>
        <row r="19">
          <cell r="K19" t="str">
            <v>79500000</v>
          </cell>
          <cell r="L19">
            <v>400</v>
          </cell>
          <cell r="N19" t="str">
            <v>სახელმწიფო ბიუჯეტი</v>
          </cell>
          <cell r="O19">
            <v>350106</v>
          </cell>
          <cell r="Q19" t="str">
            <v>მონეტარული ზღვრების დაცვით</v>
          </cell>
        </row>
        <row r="20">
          <cell r="K20" t="str">
            <v>79100000</v>
          </cell>
          <cell r="L20">
            <v>139.5</v>
          </cell>
          <cell r="N20" t="str">
            <v>სახელმწიფო ბიუჯეტი</v>
          </cell>
          <cell r="O20">
            <v>350106</v>
          </cell>
          <cell r="Q20" t="str">
            <v>მონეტარული ზღვრების დაცვით</v>
          </cell>
        </row>
        <row r="21">
          <cell r="K21">
            <v>55500000</v>
          </cell>
          <cell r="L21">
            <v>1628.8</v>
          </cell>
          <cell r="N21" t="str">
            <v>საკუთარი შემოსავლები</v>
          </cell>
          <cell r="O21">
            <v>350106</v>
          </cell>
          <cell r="Q21" t="str">
            <v>მონეტარული ზღვრების დაცვით</v>
          </cell>
        </row>
        <row r="22">
          <cell r="K22">
            <v>79700000</v>
          </cell>
          <cell r="L22">
            <v>1000</v>
          </cell>
          <cell r="N22" t="str">
            <v>სახელმწიფო ბიუჯეტი</v>
          </cell>
          <cell r="O22">
            <v>350106</v>
          </cell>
          <cell r="Q22" t="str">
            <v>გადაუდებელი აუცილებლობა</v>
          </cell>
        </row>
        <row r="23">
          <cell r="K23" t="str">
            <v>50100000</v>
          </cell>
          <cell r="L23">
            <v>60000</v>
          </cell>
          <cell r="N23" t="str">
            <v>სახელმწიფო ბიუჯეტი</v>
          </cell>
          <cell r="O23">
            <v>3503030702</v>
          </cell>
          <cell r="Q23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24">
          <cell r="K24" t="str">
            <v>50100000</v>
          </cell>
          <cell r="L24">
            <v>40000</v>
          </cell>
          <cell r="N24" t="str">
            <v>სახელმწიფო ბიუჯეტი</v>
          </cell>
          <cell r="O24">
            <v>3503030702</v>
          </cell>
          <cell r="Q24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25">
          <cell r="K25" t="str">
            <v>50100000</v>
          </cell>
          <cell r="L25">
            <v>30000</v>
          </cell>
          <cell r="N25" t="str">
            <v>სახელმწიფო ბიუჯეტი</v>
          </cell>
          <cell r="O25">
            <v>3503030702</v>
          </cell>
          <cell r="Q25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26">
          <cell r="K26" t="str">
            <v>50100000</v>
          </cell>
          <cell r="L26">
            <v>15000</v>
          </cell>
          <cell r="N26" t="str">
            <v>სახელმწიფო ბიუჯეტი</v>
          </cell>
          <cell r="O26">
            <v>3503030702</v>
          </cell>
          <cell r="Q26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27">
          <cell r="K27" t="str">
            <v>50100000</v>
          </cell>
          <cell r="L27">
            <v>4000</v>
          </cell>
          <cell r="N27" t="str">
            <v>სახელმწიფო ბიუჯეტი</v>
          </cell>
          <cell r="O27">
            <v>3503030702</v>
          </cell>
          <cell r="Q27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28">
          <cell r="K28" t="str">
            <v>50100000</v>
          </cell>
          <cell r="L28">
            <v>10000</v>
          </cell>
          <cell r="N28" t="str">
            <v>სახელმწიფო ბიუჯეტი</v>
          </cell>
          <cell r="O28">
            <v>3503030702</v>
          </cell>
          <cell r="Q28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29">
          <cell r="K29" t="str">
            <v>79500000</v>
          </cell>
          <cell r="L29">
            <v>100</v>
          </cell>
          <cell r="N29" t="str">
            <v>გრანტი</v>
          </cell>
          <cell r="O29">
            <v>350106</v>
          </cell>
          <cell r="Q29" t="str">
            <v>მონეტარული ზღვრების დაცვით</v>
          </cell>
        </row>
        <row r="30">
          <cell r="K30" t="str">
            <v>79100000</v>
          </cell>
          <cell r="L30">
            <v>46.5</v>
          </cell>
          <cell r="N30" t="str">
            <v>გრანტი</v>
          </cell>
          <cell r="O30">
            <v>350106</v>
          </cell>
          <cell r="Q30" t="str">
            <v>მონეტარული ზღვრების დაცვით</v>
          </cell>
        </row>
        <row r="31">
          <cell r="K31" t="str">
            <v>50400000</v>
          </cell>
          <cell r="L31">
            <v>3000</v>
          </cell>
          <cell r="N31" t="str">
            <v>სახელმწიფო ბიუჯეტი</v>
          </cell>
          <cell r="O31">
            <v>3503030702</v>
          </cell>
          <cell r="Q31" t="str">
            <v>მონეტარული ზღვრების დაცვით</v>
          </cell>
        </row>
        <row r="32">
          <cell r="K32" t="str">
            <v>50100000</v>
          </cell>
          <cell r="L32">
            <v>5000</v>
          </cell>
          <cell r="N32" t="str">
            <v>სახელმწიფო ბიუჯეტი</v>
          </cell>
          <cell r="O32">
            <v>3503030702</v>
          </cell>
          <cell r="Q32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33">
          <cell r="K33">
            <v>60100000</v>
          </cell>
          <cell r="L33">
            <v>2040</v>
          </cell>
          <cell r="N33" t="str">
            <v>გრანტი</v>
          </cell>
          <cell r="O33">
            <v>350106</v>
          </cell>
          <cell r="Q33" t="str">
            <v>მონეტარული ზღვრების დაცვით</v>
          </cell>
        </row>
        <row r="34">
          <cell r="K34">
            <v>60100000</v>
          </cell>
          <cell r="L34">
            <v>1920</v>
          </cell>
          <cell r="N34" t="str">
            <v>გრანტი</v>
          </cell>
          <cell r="O34">
            <v>350106</v>
          </cell>
          <cell r="Q34" t="str">
            <v>მონეტარული ზღვრების დაცვით</v>
          </cell>
        </row>
        <row r="35">
          <cell r="K35">
            <v>30100000</v>
          </cell>
          <cell r="L35">
            <v>205.97</v>
          </cell>
          <cell r="N35" t="str">
            <v>საკუთარი შემოსავლები</v>
          </cell>
          <cell r="O35">
            <v>350106</v>
          </cell>
          <cell r="Q35" t="str">
            <v>მონეტარული ზღვრების დაცვით</v>
          </cell>
        </row>
        <row r="36">
          <cell r="K36">
            <v>85100000</v>
          </cell>
          <cell r="L36">
            <v>1167000</v>
          </cell>
          <cell r="N36" t="str">
            <v>სახელმწიფო ბიუჯეტი</v>
          </cell>
          <cell r="O36">
            <v>3503030702</v>
          </cell>
          <cell r="Q36" t="str">
            <v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v>
          </cell>
        </row>
        <row r="37">
          <cell r="K37" t="str">
            <v>09100000</v>
          </cell>
          <cell r="L37">
            <v>64227</v>
          </cell>
          <cell r="N37" t="str">
            <v>სახელმწიფო ბიუჯეტი</v>
          </cell>
          <cell r="O37">
            <v>3503030702</v>
          </cell>
          <cell r="Q37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38">
          <cell r="K38" t="str">
            <v>92400000</v>
          </cell>
          <cell r="L38">
            <v>1690.6</v>
          </cell>
          <cell r="N38" t="str">
            <v>სახელმწიფო ბიუჯეტი</v>
          </cell>
          <cell r="O38">
            <v>350106</v>
          </cell>
          <cell r="Q38" t="str">
            <v>მონეტარული ზღვრების დაცვით</v>
          </cell>
        </row>
        <row r="39">
          <cell r="K39" t="str">
            <v>92400000</v>
          </cell>
          <cell r="L39">
            <v>3300</v>
          </cell>
          <cell r="N39" t="str">
            <v>სახელმწიფო ბიუჯეტი</v>
          </cell>
          <cell r="O39">
            <v>350106</v>
          </cell>
          <cell r="Q39" t="str">
            <v>მონეტარული ზღვრების დაცვით</v>
          </cell>
        </row>
        <row r="40">
          <cell r="K40" t="str">
            <v>32500000</v>
          </cell>
          <cell r="L40">
            <v>50</v>
          </cell>
          <cell r="N40" t="str">
            <v>სახელმწიფო ბიუჯეტი</v>
          </cell>
          <cell r="O40">
            <v>350106</v>
          </cell>
          <cell r="Q40" t="str">
            <v>მონეტარული ზღვრების დაცვით</v>
          </cell>
        </row>
        <row r="41">
          <cell r="K41" t="str">
            <v>44100000</v>
          </cell>
          <cell r="L41">
            <v>150</v>
          </cell>
          <cell r="N41" t="str">
            <v>სახელმწიფო ბიუჯეტი</v>
          </cell>
          <cell r="O41">
            <v>3503030702</v>
          </cell>
          <cell r="Q41" t="str">
            <v>მონეტარული ზღვრების დაცვით</v>
          </cell>
        </row>
        <row r="42">
          <cell r="K42">
            <v>42100000</v>
          </cell>
          <cell r="L42">
            <v>250</v>
          </cell>
          <cell r="N42" t="str">
            <v>სახელმწიფო ბიუჯეტი</v>
          </cell>
          <cell r="O42">
            <v>3503030702</v>
          </cell>
          <cell r="Q42" t="str">
            <v>მონეტარული ზღვრების დაცვით</v>
          </cell>
        </row>
        <row r="43">
          <cell r="K43" t="str">
            <v>44100000</v>
          </cell>
          <cell r="L43">
            <v>139.20000000000002</v>
          </cell>
          <cell r="N43" t="str">
            <v>სახელმწიფო ბიუჯეტი</v>
          </cell>
          <cell r="O43">
            <v>350106</v>
          </cell>
          <cell r="Q43" t="str">
            <v>მონეტარული ზღვრების დაცვით</v>
          </cell>
        </row>
        <row r="44">
          <cell r="K44" t="str">
            <v>44400000</v>
          </cell>
          <cell r="L44">
            <v>16</v>
          </cell>
          <cell r="N44" t="str">
            <v>სახელმწიფო ბიუჯეტი</v>
          </cell>
          <cell r="O44">
            <v>350106</v>
          </cell>
          <cell r="Q44" t="str">
            <v>მონეტარული ზღვრების დაცვით</v>
          </cell>
        </row>
        <row r="45">
          <cell r="K45" t="str">
            <v>31200000</v>
          </cell>
          <cell r="L45">
            <v>12</v>
          </cell>
          <cell r="N45" t="str">
            <v>სახელმწიფო ბიუჯეტი</v>
          </cell>
          <cell r="O45">
            <v>350106</v>
          </cell>
          <cell r="Q45" t="str">
            <v>მონეტარული ზღვრების დაცვით</v>
          </cell>
        </row>
        <row r="46">
          <cell r="K46" t="str">
            <v>31300000</v>
          </cell>
          <cell r="L46">
            <v>3.5</v>
          </cell>
          <cell r="N46" t="str">
            <v>სახელმწიფო ბიუჯეტი</v>
          </cell>
          <cell r="O46">
            <v>350106</v>
          </cell>
          <cell r="Q46" t="str">
            <v>მონეტარული ზღვრების დაცვით</v>
          </cell>
        </row>
        <row r="47">
          <cell r="K47" t="str">
            <v>42100000</v>
          </cell>
          <cell r="L47">
            <v>24</v>
          </cell>
          <cell r="N47" t="str">
            <v>სახელმწიფო ბიუჯეტი</v>
          </cell>
          <cell r="O47">
            <v>350106</v>
          </cell>
          <cell r="Q47" t="str">
            <v>მონეტარული ზღვრების დაცვით</v>
          </cell>
        </row>
        <row r="48">
          <cell r="K48" t="str">
            <v>31300000</v>
          </cell>
          <cell r="L48">
            <v>172</v>
          </cell>
          <cell r="N48" t="str">
            <v>სახელმწიფო ბიუჯეტი</v>
          </cell>
          <cell r="O48">
            <v>3503030702</v>
          </cell>
          <cell r="Q48" t="str">
            <v>მონეტარული ზღვრების დაცვით</v>
          </cell>
        </row>
        <row r="49">
          <cell r="K49" t="str">
            <v>31500000</v>
          </cell>
          <cell r="L49">
            <v>120</v>
          </cell>
          <cell r="N49" t="str">
            <v>სახელმწიფო ბიუჯეტი</v>
          </cell>
          <cell r="O49">
            <v>3503030702</v>
          </cell>
          <cell r="Q49" t="str">
            <v>მონეტარული ზღვრების დაცვით</v>
          </cell>
        </row>
        <row r="50">
          <cell r="K50" t="str">
            <v>31200000</v>
          </cell>
          <cell r="L50">
            <v>83</v>
          </cell>
          <cell r="N50" t="str">
            <v>სახელმწიფო ბიუჯეტი</v>
          </cell>
          <cell r="O50">
            <v>3503030702</v>
          </cell>
          <cell r="Q50" t="str">
            <v>მონეტარული ზღვრების დაცვით</v>
          </cell>
        </row>
        <row r="51">
          <cell r="K51" t="str">
            <v>09100000</v>
          </cell>
          <cell r="L51">
            <v>56752</v>
          </cell>
          <cell r="N51" t="str">
            <v>სახელმწიფო ბიუჯეტი</v>
          </cell>
          <cell r="O51">
            <v>3503030702</v>
          </cell>
          <cell r="Q51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52">
          <cell r="K52" t="str">
            <v>09100000</v>
          </cell>
          <cell r="L52">
            <v>35740</v>
          </cell>
          <cell r="N52" t="str">
            <v>სახელმწიფო ბიუჯეტი</v>
          </cell>
          <cell r="O52">
            <v>3503030702</v>
          </cell>
          <cell r="Q52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53">
          <cell r="K53" t="str">
            <v>79800000</v>
          </cell>
          <cell r="L53">
            <v>653.25</v>
          </cell>
          <cell r="N53" t="str">
            <v>გრანტი</v>
          </cell>
          <cell r="O53">
            <v>350106</v>
          </cell>
          <cell r="Q53" t="str">
            <v>მონეტარული ზღვრების დაცვით</v>
          </cell>
        </row>
        <row r="54">
          <cell r="K54" t="str">
            <v>09100000</v>
          </cell>
          <cell r="L54">
            <v>29015</v>
          </cell>
          <cell r="N54" t="str">
            <v>სახელმწიფო ბიუჯეტი</v>
          </cell>
          <cell r="O54">
            <v>3503030702</v>
          </cell>
          <cell r="Q54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55">
          <cell r="K55" t="str">
            <v>09100000</v>
          </cell>
          <cell r="L55">
            <v>4380</v>
          </cell>
          <cell r="N55" t="str">
            <v>სახელმწიფო ბიუჯეტი</v>
          </cell>
          <cell r="O55">
            <v>3503030702</v>
          </cell>
          <cell r="Q55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56">
          <cell r="K56" t="str">
            <v>71200000</v>
          </cell>
          <cell r="L56">
            <v>150</v>
          </cell>
          <cell r="N56" t="str">
            <v>სახელმწიფო ბიუჯეტი</v>
          </cell>
          <cell r="O56">
            <v>350106</v>
          </cell>
          <cell r="Q56" t="str">
            <v>მონეტარული ზღვრების დაცვით</v>
          </cell>
        </row>
        <row r="57">
          <cell r="K57">
            <v>39700000</v>
          </cell>
          <cell r="L57">
            <v>1540</v>
          </cell>
          <cell r="N57" t="str">
            <v>საკუთარი შემოსავლები</v>
          </cell>
          <cell r="O57">
            <v>3503030702</v>
          </cell>
          <cell r="Q57" t="str">
            <v>მონეტარული ზღვრების დაცვით</v>
          </cell>
        </row>
        <row r="58">
          <cell r="K58" t="str">
            <v>09100000</v>
          </cell>
          <cell r="L58">
            <v>4859</v>
          </cell>
          <cell r="N58" t="str">
            <v>სახელმწიფო ბიუჯეტი</v>
          </cell>
          <cell r="O58">
            <v>3503030702</v>
          </cell>
          <cell r="Q58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59">
          <cell r="K59">
            <v>50500000</v>
          </cell>
          <cell r="L59">
            <v>320</v>
          </cell>
          <cell r="N59" t="str">
            <v>სახელმწიფო ბიუჯეტი</v>
          </cell>
          <cell r="O59">
            <v>3503030702</v>
          </cell>
          <cell r="Q59" t="str">
            <v>მონეტარული ზღვრების დაცვით</v>
          </cell>
        </row>
        <row r="60">
          <cell r="K60">
            <v>42100000</v>
          </cell>
          <cell r="L60">
            <v>100</v>
          </cell>
          <cell r="N60" t="str">
            <v>სახელმწიფო ბიუჯეტი</v>
          </cell>
          <cell r="O60">
            <v>3503030702</v>
          </cell>
          <cell r="Q60" t="str">
            <v>მონეტარული ზღვრების დაცვით</v>
          </cell>
        </row>
        <row r="61">
          <cell r="K61">
            <v>72400000</v>
          </cell>
          <cell r="L61">
            <v>428.6</v>
          </cell>
          <cell r="N61" t="str">
            <v>სახელმწიფო ბიუჯეტი</v>
          </cell>
          <cell r="O61">
            <v>3503030702</v>
          </cell>
          <cell r="Q61" t="str">
            <v>საქართველოს მთავრობის 2012 წლის 26 სექტემბრის  N1805 განკარგულება</v>
          </cell>
        </row>
        <row r="62">
          <cell r="K62">
            <v>24100000</v>
          </cell>
          <cell r="L62">
            <v>1880</v>
          </cell>
          <cell r="N62" t="str">
            <v>საკუთარი შემოსავლები</v>
          </cell>
          <cell r="O62">
            <v>3503030702</v>
          </cell>
          <cell r="Q62" t="str">
            <v>მონეტარული ზღვრების დაცვით</v>
          </cell>
        </row>
        <row r="63">
          <cell r="K63" t="str">
            <v>39700000</v>
          </cell>
          <cell r="L63">
            <v>300</v>
          </cell>
          <cell r="N63" t="str">
            <v>საკუთარი შემოსავლები</v>
          </cell>
          <cell r="O63">
            <v>3503030702</v>
          </cell>
          <cell r="Q63" t="str">
            <v>მონეტარული ზღვრების დაცვით</v>
          </cell>
        </row>
        <row r="64">
          <cell r="K64">
            <v>44400000</v>
          </cell>
          <cell r="L64">
            <v>168</v>
          </cell>
          <cell r="N64" t="str">
            <v>სახელმწიფო ბიუჯეტი</v>
          </cell>
          <cell r="O64">
            <v>3503030702</v>
          </cell>
          <cell r="Q64" t="str">
            <v>მონეტარული ზღვრების დაცვით</v>
          </cell>
        </row>
        <row r="65">
          <cell r="K65" t="str">
            <v>55500000</v>
          </cell>
          <cell r="L65">
            <v>979.85</v>
          </cell>
          <cell r="N65" t="str">
            <v>საკუთარი შემოსავლები</v>
          </cell>
          <cell r="O65">
            <v>350106</v>
          </cell>
          <cell r="Q65" t="str">
            <v>მონეტარული ზღვრების დაცვით</v>
          </cell>
        </row>
        <row r="66">
          <cell r="K66" t="str">
            <v>55500000</v>
          </cell>
          <cell r="L66">
            <v>812.73</v>
          </cell>
          <cell r="N66" t="str">
            <v>საკუთარი შემოსავლები</v>
          </cell>
          <cell r="O66">
            <v>350106</v>
          </cell>
          <cell r="Q66" t="str">
            <v>მონეტარული ზღვრების დაცვით</v>
          </cell>
        </row>
        <row r="67">
          <cell r="K67" t="str">
            <v>30200000</v>
          </cell>
          <cell r="L67">
            <v>119</v>
          </cell>
          <cell r="N67" t="str">
            <v>სახელმწიფო ბიუჯეტი</v>
          </cell>
          <cell r="O67">
            <v>350106</v>
          </cell>
          <cell r="Q67" t="str">
            <v>მონეტარული ზღვრების დაცვით</v>
          </cell>
        </row>
        <row r="68">
          <cell r="K68" t="str">
            <v>72400000</v>
          </cell>
          <cell r="L68">
            <v>120</v>
          </cell>
          <cell r="N68" t="str">
            <v>სახელმწიფო ბიუჯეტი</v>
          </cell>
          <cell r="O68">
            <v>350106</v>
          </cell>
          <cell r="Q68" t="str">
            <v>საქართველოს მთავრობის 2012 წლის 26 სექტემბრის  N1805 განკარგულება</v>
          </cell>
        </row>
        <row r="69">
          <cell r="K69" t="str">
            <v>79800000</v>
          </cell>
          <cell r="L69">
            <v>124.95</v>
          </cell>
          <cell r="N69" t="str">
            <v>საკუთარი შემოსავლები</v>
          </cell>
          <cell r="O69">
            <v>350106</v>
          </cell>
          <cell r="Q69" t="str">
            <v>მონეტარული ზღვრების დაცვით</v>
          </cell>
        </row>
        <row r="70">
          <cell r="K70" t="str">
            <v>30100000</v>
          </cell>
          <cell r="L70">
            <v>63.75</v>
          </cell>
          <cell r="N70" t="str">
            <v>საკუთარი შემოსავლები</v>
          </cell>
          <cell r="O70">
            <v>350106</v>
          </cell>
          <cell r="Q70" t="str">
            <v>მონეტარული ზღვრების დაცვით</v>
          </cell>
        </row>
        <row r="71">
          <cell r="K71" t="str">
            <v>15800000</v>
          </cell>
          <cell r="L71">
            <v>105</v>
          </cell>
          <cell r="N71" t="str">
            <v>სახელმწიფო ბიუჯეტი</v>
          </cell>
          <cell r="O71">
            <v>350106</v>
          </cell>
          <cell r="Q71" t="str">
            <v>მონეტარული ზღვრების დაცვით</v>
          </cell>
        </row>
        <row r="72">
          <cell r="K72" t="str">
            <v>42100000</v>
          </cell>
          <cell r="L72">
            <v>65</v>
          </cell>
          <cell r="N72" t="str">
            <v>სახელმწიფო ბიუჯეტი</v>
          </cell>
          <cell r="O72">
            <v>3503030702</v>
          </cell>
          <cell r="Q72" t="str">
            <v>მონეტარული ზღვრების დაცვით</v>
          </cell>
        </row>
        <row r="73">
          <cell r="K73" t="str">
            <v>44100000</v>
          </cell>
          <cell r="L73">
            <v>50</v>
          </cell>
          <cell r="N73" t="str">
            <v>სახელმწიფო ბიუჯეტი</v>
          </cell>
          <cell r="O73">
            <v>3503030702</v>
          </cell>
          <cell r="Q73" t="str">
            <v>მონეტარული ზღვრების დაცვით</v>
          </cell>
        </row>
        <row r="74">
          <cell r="K74" t="str">
            <v>44200000</v>
          </cell>
          <cell r="L74">
            <v>70</v>
          </cell>
          <cell r="N74" t="str">
            <v>სახელმწიფო ბიუჯეტი</v>
          </cell>
          <cell r="O74">
            <v>3503030702</v>
          </cell>
          <cell r="Q74" t="str">
            <v>მონეტარული ზღვრების დაცვით</v>
          </cell>
        </row>
        <row r="75">
          <cell r="K75" t="str">
            <v>18100000</v>
          </cell>
          <cell r="L75">
            <v>120</v>
          </cell>
          <cell r="N75" t="str">
            <v>სახელმწიფო ბიუჯეტი</v>
          </cell>
          <cell r="O75">
            <v>3503030702</v>
          </cell>
          <cell r="Q75" t="str">
            <v>მონეტარული ზღვრების დაცვით</v>
          </cell>
        </row>
        <row r="76">
          <cell r="K76" t="str">
            <v>30200000</v>
          </cell>
          <cell r="L76">
            <v>270</v>
          </cell>
          <cell r="N76" t="str">
            <v>საკუთარი შემოსავლები</v>
          </cell>
          <cell r="O76">
            <v>350106</v>
          </cell>
          <cell r="Q76" t="str">
            <v>მონეტარული ზღვრების დაცვით</v>
          </cell>
        </row>
        <row r="77">
          <cell r="K77" t="str">
            <v>50400000</v>
          </cell>
          <cell r="L77">
            <v>1000</v>
          </cell>
          <cell r="N77" t="str">
            <v>საკუთარი შემოსავლები</v>
          </cell>
          <cell r="O77">
            <v>3503030702</v>
          </cell>
          <cell r="Q77" t="str">
            <v>მონეტარული ზღვრების დაცვით</v>
          </cell>
        </row>
        <row r="78">
          <cell r="K78" t="str">
            <v>55300000</v>
          </cell>
          <cell r="L78">
            <v>400</v>
          </cell>
          <cell r="N78" t="str">
            <v>სახელმწიფო ბიუჯეტი</v>
          </cell>
          <cell r="O78">
            <v>350106</v>
          </cell>
          <cell r="Q78" t="str">
            <v>წარმომადგენლობითი ხარჯები</v>
          </cell>
        </row>
        <row r="79">
          <cell r="K79" t="str">
            <v>55300000</v>
          </cell>
          <cell r="L79">
            <v>700</v>
          </cell>
          <cell r="N79" t="str">
            <v>სახელმწიფო ბიუჯეტი</v>
          </cell>
          <cell r="O79">
            <v>350106</v>
          </cell>
          <cell r="Q79" t="str">
            <v>წარმომადგენლობითი ხარჯები</v>
          </cell>
        </row>
        <row r="80">
          <cell r="K80" t="str">
            <v>60100000</v>
          </cell>
          <cell r="L80">
            <v>350</v>
          </cell>
          <cell r="N80" t="str">
            <v>სახელმწიფო ბიუჯეტი</v>
          </cell>
          <cell r="O80">
            <v>3503030702</v>
          </cell>
          <cell r="Q80" t="str">
            <v>მონეტარული ზღვრების დაცვით</v>
          </cell>
        </row>
        <row r="81">
          <cell r="K81" t="str">
            <v>55300000</v>
          </cell>
          <cell r="L81">
            <v>800</v>
          </cell>
          <cell r="N81" t="str">
            <v>სახელმწიფო ბიუჯეტი</v>
          </cell>
          <cell r="O81">
            <v>350106</v>
          </cell>
          <cell r="Q81" t="str">
            <v>წარმომადგენლობითი ხარჯები</v>
          </cell>
        </row>
        <row r="82">
          <cell r="K82" t="str">
            <v>09100000</v>
          </cell>
          <cell r="L82">
            <v>14530</v>
          </cell>
          <cell r="N82" t="str">
            <v>სახელმწიფო ბიუჯეტი</v>
          </cell>
          <cell r="O82">
            <v>3503030702</v>
          </cell>
          <cell r="Q82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83">
          <cell r="K83" t="str">
            <v>72400000</v>
          </cell>
          <cell r="L83">
            <v>3600</v>
          </cell>
          <cell r="N83" t="str">
            <v>სახელმწიფო ბიუჯეტი</v>
          </cell>
          <cell r="O83">
            <v>350106</v>
          </cell>
          <cell r="Q83" t="str">
            <v>საქართველოს მთავრობის 2012 წლის 26 სექტემბრის  N1805 განკარგულება</v>
          </cell>
        </row>
        <row r="84">
          <cell r="K84" t="str">
            <v>72400000</v>
          </cell>
          <cell r="L84">
            <v>3000</v>
          </cell>
          <cell r="N84" t="str">
            <v>სახელმწიფო ბიუჯეტი</v>
          </cell>
          <cell r="O84">
            <v>3503030702</v>
          </cell>
          <cell r="Q84" t="str">
            <v>საქართველოს მთავრობის 2012 წლის 26 სექტემბრის  N1805 განკარგულება</v>
          </cell>
        </row>
        <row r="85">
          <cell r="K85" t="str">
            <v>09100000</v>
          </cell>
          <cell r="L85">
            <v>24398</v>
          </cell>
          <cell r="N85" t="str">
            <v>სახელმწიფო ბიუჯეტი</v>
          </cell>
          <cell r="O85">
            <v>3503030702</v>
          </cell>
          <cell r="Q85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86">
          <cell r="K86" t="str">
            <v>72400000</v>
          </cell>
          <cell r="L86">
            <v>1125</v>
          </cell>
          <cell r="N86" t="str">
            <v>სახელმწიფო ბიუჯეტი</v>
          </cell>
          <cell r="O86">
            <v>3503030702</v>
          </cell>
          <cell r="Q86" t="str">
            <v>საქართველოს მთავრობის 2012 წლის 26 სექტემბრის  N1805 განკარგულება</v>
          </cell>
        </row>
        <row r="87">
          <cell r="K87" t="str">
            <v>09100000</v>
          </cell>
          <cell r="L87">
            <v>44240</v>
          </cell>
          <cell r="N87" t="str">
            <v>სახელმწიფო ბიუჯეტი</v>
          </cell>
          <cell r="O87">
            <v>3503030702</v>
          </cell>
          <cell r="Q87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88">
          <cell r="K88" t="str">
            <v>09100000</v>
          </cell>
          <cell r="L88">
            <v>4100</v>
          </cell>
          <cell r="N88" t="str">
            <v>სახელმწიფო ბიუჯეტი</v>
          </cell>
          <cell r="O88">
            <v>3503030702</v>
          </cell>
          <cell r="Q88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89">
          <cell r="K89" t="str">
            <v>09100000</v>
          </cell>
          <cell r="L89">
            <v>3225</v>
          </cell>
          <cell r="N89" t="str">
            <v>სახელმწიფო ბიუჯეტი</v>
          </cell>
          <cell r="O89">
            <v>3503030702</v>
          </cell>
          <cell r="Q89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90">
          <cell r="K90" t="str">
            <v>15800000</v>
          </cell>
          <cell r="L90">
            <v>35</v>
          </cell>
          <cell r="N90" t="str">
            <v>სახელმწიფო ბიუჯეტი</v>
          </cell>
          <cell r="O90">
            <v>350106</v>
          </cell>
          <cell r="Q90" t="str">
            <v>მონეტარული ზღვრების დაცვით</v>
          </cell>
        </row>
        <row r="91">
          <cell r="K91" t="str">
            <v>15900000</v>
          </cell>
          <cell r="L91">
            <v>337.76</v>
          </cell>
          <cell r="N91" t="str">
            <v>სახელმწიფო ბიუჯეტი</v>
          </cell>
          <cell r="O91">
            <v>350106</v>
          </cell>
          <cell r="Q91" t="str">
            <v>მონეტარული ზღვრების დაცვით</v>
          </cell>
        </row>
        <row r="92">
          <cell r="K92" t="str">
            <v>55500000</v>
          </cell>
          <cell r="L92">
            <v>1461.37</v>
          </cell>
          <cell r="N92" t="str">
            <v>საკუთარი შემოსავლები</v>
          </cell>
          <cell r="O92">
            <v>350106</v>
          </cell>
          <cell r="Q92" t="str">
            <v>მონეტარული ზღვრების დაცვით</v>
          </cell>
        </row>
        <row r="93">
          <cell r="K93" t="str">
            <v>42500000</v>
          </cell>
          <cell r="L93">
            <v>250</v>
          </cell>
          <cell r="N93" t="str">
            <v>სახელმწიფო ბიუჯეტი</v>
          </cell>
          <cell r="O93">
            <v>3503030702</v>
          </cell>
          <cell r="Q93" t="str">
            <v>მონეტარული ზღვრების დაცვით</v>
          </cell>
        </row>
        <row r="94">
          <cell r="K94" t="str">
            <v>44600000</v>
          </cell>
          <cell r="L94">
            <v>300</v>
          </cell>
          <cell r="N94" t="str">
            <v>საკუთარი შემოსავლები</v>
          </cell>
          <cell r="O94">
            <v>3503030702</v>
          </cell>
          <cell r="Q94" t="str">
            <v>მონეტარული ზღვრების დაცვით</v>
          </cell>
        </row>
        <row r="95">
          <cell r="K95" t="str">
            <v>33100000</v>
          </cell>
          <cell r="L95">
            <v>280.5</v>
          </cell>
          <cell r="N95" t="str">
            <v>საკუთარი შემოსავლები</v>
          </cell>
          <cell r="O95">
            <v>3503030702</v>
          </cell>
          <cell r="Q95" t="str">
            <v>მონეტარული ზღვრების დაცვით</v>
          </cell>
        </row>
        <row r="96">
          <cell r="K96" t="str">
            <v>32500000</v>
          </cell>
          <cell r="L96">
            <v>105</v>
          </cell>
          <cell r="N96" t="str">
            <v>საკუთარი შემოსავლები</v>
          </cell>
          <cell r="O96">
            <v>3503030702</v>
          </cell>
          <cell r="Q96" t="str">
            <v>მონეტარული ზღვრების დაცვით</v>
          </cell>
        </row>
        <row r="97">
          <cell r="K97" t="str">
            <v>72400000</v>
          </cell>
          <cell r="L97">
            <v>205</v>
          </cell>
          <cell r="N97" t="str">
            <v>საკუთარი შემოსავლები</v>
          </cell>
          <cell r="O97">
            <v>3503030702</v>
          </cell>
          <cell r="Q97" t="str">
            <v>მონეტარული ზღვრების დაცვით</v>
          </cell>
        </row>
        <row r="98">
          <cell r="K98">
            <v>42100000</v>
          </cell>
          <cell r="L98">
            <v>3750</v>
          </cell>
          <cell r="N98" t="str">
            <v>სახელმწიფო ბიუჯეტი</v>
          </cell>
          <cell r="O98">
            <v>350106</v>
          </cell>
          <cell r="Q98" t="str">
            <v>მონეტარული ზღვრების დაცვით</v>
          </cell>
        </row>
        <row r="99">
          <cell r="K99">
            <v>42900000</v>
          </cell>
          <cell r="L99">
            <v>400</v>
          </cell>
          <cell r="N99" t="str">
            <v>სახელმწიფო ბიუჯეტი</v>
          </cell>
          <cell r="O99">
            <v>350106</v>
          </cell>
          <cell r="Q99" t="str">
            <v>მონეტარული ზღვრების დაცვით</v>
          </cell>
        </row>
        <row r="100">
          <cell r="K100">
            <v>34900000</v>
          </cell>
          <cell r="L100">
            <v>250</v>
          </cell>
          <cell r="N100" t="str">
            <v>სახელმწიფო ბიუჯეტი</v>
          </cell>
          <cell r="O100">
            <v>350106</v>
          </cell>
          <cell r="Q100" t="str">
            <v>მონეტარული ზღვრების დაცვით</v>
          </cell>
        </row>
        <row r="101">
          <cell r="K101" t="str">
            <v>55300000</v>
          </cell>
          <cell r="L101">
            <v>313</v>
          </cell>
          <cell r="N101" t="str">
            <v>სახელმწიფო ბიუჯეტი</v>
          </cell>
          <cell r="O101">
            <v>350106</v>
          </cell>
          <cell r="Q101" t="str">
            <v>წარმომადგენლობითი ხარჯები</v>
          </cell>
        </row>
        <row r="102">
          <cell r="K102" t="str">
            <v>63500000</v>
          </cell>
          <cell r="L102">
            <v>200</v>
          </cell>
          <cell r="N102" t="str">
            <v>სახელმწიფო ბიუჯეტი</v>
          </cell>
          <cell r="O102">
            <v>350106</v>
          </cell>
          <cell r="Q102" t="str">
            <v>წარმომადგენლობითი ხარჯები</v>
          </cell>
        </row>
        <row r="103">
          <cell r="K103" t="str">
            <v>55300000</v>
          </cell>
          <cell r="L103">
            <v>1652.28</v>
          </cell>
          <cell r="N103" t="str">
            <v>საკუთარი შემოსავლები</v>
          </cell>
          <cell r="O103">
            <v>350106</v>
          </cell>
          <cell r="Q103" t="str">
            <v>მონეტარული ზღვრების დაცვით</v>
          </cell>
        </row>
        <row r="104">
          <cell r="K104" t="str">
            <v>66500000</v>
          </cell>
          <cell r="L104">
            <v>10197.5</v>
          </cell>
          <cell r="N104" t="str">
            <v>სახელმწიფო ბიუჯეტი</v>
          </cell>
          <cell r="O104">
            <v>3503030702</v>
          </cell>
          <cell r="Q104" t="str">
            <v>„სახელმწიფო შესყიდვების შესახებ“ საქართველოს კანონის მე-10' მუხლის მე-3 პუნქტის „ბ“ ქვეპუნქტის შესაბამისად SMP180000699</v>
          </cell>
        </row>
        <row r="105">
          <cell r="K105" t="str">
            <v>30200000</v>
          </cell>
          <cell r="L105">
            <v>60</v>
          </cell>
          <cell r="N105" t="str">
            <v>საკუთარი შემოსავლები</v>
          </cell>
          <cell r="O105">
            <v>350106</v>
          </cell>
          <cell r="Q105" t="str">
            <v>მონეტარული ზღვრების დაცვით</v>
          </cell>
        </row>
        <row r="106">
          <cell r="K106" t="str">
            <v>42900000</v>
          </cell>
          <cell r="L106">
            <v>129.6</v>
          </cell>
          <cell r="N106" t="str">
            <v>სახელმწიფო ბიუჯეტი</v>
          </cell>
          <cell r="O106">
            <v>3503030702</v>
          </cell>
          <cell r="Q106" t="str">
            <v>მონეტარული ზღვრების დაცვით</v>
          </cell>
        </row>
        <row r="107">
          <cell r="K107" t="str">
            <v>90900000</v>
          </cell>
          <cell r="L107">
            <v>1490.8</v>
          </cell>
          <cell r="N107" t="str">
            <v>სახელმწიფო ბიუჯეტი</v>
          </cell>
          <cell r="O107">
            <v>350106</v>
          </cell>
          <cell r="Q107" t="str">
            <v>მონეტარული ზღვრების დაცვით</v>
          </cell>
        </row>
        <row r="108">
          <cell r="K108" t="str">
            <v>50100000</v>
          </cell>
          <cell r="L108">
            <v>10000</v>
          </cell>
          <cell r="N108" t="str">
            <v>სახელმწიფო ბიუჯეტი</v>
          </cell>
          <cell r="O108">
            <v>3503030702</v>
          </cell>
          <cell r="Q108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109">
          <cell r="K109" t="str">
            <v>44300000</v>
          </cell>
          <cell r="L109">
            <v>249.3</v>
          </cell>
          <cell r="N109" t="str">
            <v>სახელმწიფო ბიუჯეტი</v>
          </cell>
          <cell r="O109">
            <v>3503030702</v>
          </cell>
          <cell r="Q109" t="str">
            <v>მონეტარული ზღვრების დაცვით</v>
          </cell>
        </row>
        <row r="110">
          <cell r="K110" t="str">
            <v>45200000</v>
          </cell>
          <cell r="L110">
            <v>375</v>
          </cell>
          <cell r="N110" t="str">
            <v>საკუთარი შემოსავლები</v>
          </cell>
          <cell r="O110">
            <v>3503030702</v>
          </cell>
          <cell r="Q110" t="str">
            <v>მონეტარული ზღვრების დაცვით</v>
          </cell>
        </row>
        <row r="111">
          <cell r="K111" t="str">
            <v>79800000</v>
          </cell>
          <cell r="L111">
            <v>749.1</v>
          </cell>
          <cell r="N111" t="str">
            <v>გრანტი</v>
          </cell>
          <cell r="O111">
            <v>350106</v>
          </cell>
          <cell r="Q111" t="str">
            <v>მონეტარული ზღვრების დაცვით</v>
          </cell>
        </row>
        <row r="112">
          <cell r="K112" t="str">
            <v>55300000</v>
          </cell>
          <cell r="L112">
            <v>1536.24</v>
          </cell>
          <cell r="N112" t="str">
            <v>საკუთარი შემოსავლები</v>
          </cell>
          <cell r="O112">
            <v>350106</v>
          </cell>
          <cell r="Q112" t="str">
            <v>მონეტარული ზღვრების დაცვით</v>
          </cell>
        </row>
        <row r="113">
          <cell r="K113" t="str">
            <v>42100000</v>
          </cell>
          <cell r="L113">
            <v>184</v>
          </cell>
          <cell r="N113" t="str">
            <v>სახელმწიფო ბიუჯეტი</v>
          </cell>
          <cell r="O113">
            <v>3503030702</v>
          </cell>
          <cell r="Q113" t="str">
            <v>მონეტარული ზღვრების დაცვით</v>
          </cell>
        </row>
        <row r="114">
          <cell r="K114" t="str">
            <v>44400000</v>
          </cell>
          <cell r="L114">
            <v>95</v>
          </cell>
          <cell r="N114" t="str">
            <v>სახელმწიფო ბიუჯეტი</v>
          </cell>
          <cell r="O114">
            <v>3503030702</v>
          </cell>
          <cell r="Q114" t="str">
            <v>მონეტარული ზღვრების დაცვით</v>
          </cell>
        </row>
        <row r="115">
          <cell r="K115" t="str">
            <v>44100000</v>
          </cell>
          <cell r="L115">
            <v>454</v>
          </cell>
          <cell r="N115" t="str">
            <v>სახელმწიფო ბიუჯეტი</v>
          </cell>
          <cell r="O115">
            <v>3503030702</v>
          </cell>
          <cell r="Q115" t="str">
            <v>მონეტარული ზღვრების დაცვით</v>
          </cell>
        </row>
        <row r="116">
          <cell r="K116" t="str">
            <v>44600000</v>
          </cell>
          <cell r="L116">
            <v>2.5</v>
          </cell>
          <cell r="N116" t="str">
            <v>სახელმწიფო ბიუჯეტი</v>
          </cell>
          <cell r="O116">
            <v>3503030702</v>
          </cell>
          <cell r="Q116" t="str">
            <v>მონეტარული ზღვრების დაცვით</v>
          </cell>
        </row>
        <row r="117">
          <cell r="K117" t="str">
            <v>31300000</v>
          </cell>
          <cell r="L117">
            <v>20</v>
          </cell>
          <cell r="N117" t="str">
            <v>სახელმწიფო ბიუჯეტი</v>
          </cell>
          <cell r="O117">
            <v>3503030702</v>
          </cell>
          <cell r="Q117" t="str">
            <v>მონეტარული ზღვრების დაცვით</v>
          </cell>
        </row>
        <row r="118">
          <cell r="K118" t="str">
            <v>24900000</v>
          </cell>
          <cell r="L118">
            <v>5</v>
          </cell>
          <cell r="N118" t="str">
            <v>სახელმწიფო ბიუჯეტი</v>
          </cell>
          <cell r="O118">
            <v>3503030702</v>
          </cell>
          <cell r="Q118" t="str">
            <v>მონეტარული ზღვრების დაცვით</v>
          </cell>
        </row>
        <row r="119">
          <cell r="K119" t="str">
            <v>44200000</v>
          </cell>
          <cell r="L119">
            <v>350</v>
          </cell>
          <cell r="N119" t="str">
            <v>სახელმწიფო ბიუჯეტი</v>
          </cell>
          <cell r="O119">
            <v>3503030702</v>
          </cell>
          <cell r="Q119" t="str">
            <v>მონეტარული ზღვრების დაცვით</v>
          </cell>
        </row>
        <row r="120">
          <cell r="K120">
            <v>50500000</v>
          </cell>
          <cell r="L120">
            <v>450</v>
          </cell>
          <cell r="N120" t="str">
            <v>საკუთარი შემოსავლები</v>
          </cell>
          <cell r="O120">
            <v>3503030702</v>
          </cell>
          <cell r="Q120" t="str">
            <v>მონეტარული ზღვრების დაცვით</v>
          </cell>
        </row>
        <row r="121">
          <cell r="K121">
            <v>45400000</v>
          </cell>
          <cell r="L121">
            <v>150</v>
          </cell>
          <cell r="N121" t="str">
            <v>საკუთარი შემოსავლები</v>
          </cell>
          <cell r="O121">
            <v>3503030702</v>
          </cell>
          <cell r="Q121" t="str">
            <v>მონეტარული ზღვრების დაცვით</v>
          </cell>
        </row>
        <row r="122">
          <cell r="K122" t="str">
            <v>09100000</v>
          </cell>
          <cell r="L122">
            <v>31190</v>
          </cell>
          <cell r="N122" t="str">
            <v>სახელმწიფო ბიუჯეტი</v>
          </cell>
          <cell r="O122">
            <v>3503030702</v>
          </cell>
          <cell r="Q122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23">
          <cell r="K123" t="str">
            <v>09100000</v>
          </cell>
          <cell r="L123">
            <v>24110</v>
          </cell>
          <cell r="N123" t="str">
            <v>სახელმწიფო ბიუჯეტი</v>
          </cell>
          <cell r="O123">
            <v>3503030702</v>
          </cell>
          <cell r="Q123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24">
          <cell r="K124" t="str">
            <v>09100000</v>
          </cell>
          <cell r="L124">
            <v>58256</v>
          </cell>
          <cell r="N124" t="str">
            <v>სახელმწიფო ბიუჯეტი</v>
          </cell>
          <cell r="O124">
            <v>3503030702</v>
          </cell>
          <cell r="Q124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25">
          <cell r="K125" t="str">
            <v>09100000</v>
          </cell>
          <cell r="L125">
            <v>6450</v>
          </cell>
          <cell r="N125" t="str">
            <v>სახელმწიფო ბიუჯეტი</v>
          </cell>
          <cell r="O125">
            <v>3503030702</v>
          </cell>
          <cell r="Q125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26">
          <cell r="K126" t="str">
            <v>09100000</v>
          </cell>
          <cell r="L126">
            <v>2659</v>
          </cell>
          <cell r="N126" t="str">
            <v>სახელმწიფო ბიუჯეტი</v>
          </cell>
          <cell r="O126">
            <v>3503030702</v>
          </cell>
          <cell r="Q126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27">
          <cell r="K127" t="str">
            <v>44600000</v>
          </cell>
          <cell r="L127">
            <v>230</v>
          </cell>
          <cell r="N127" t="str">
            <v>საკუთარი შემოსავლები</v>
          </cell>
          <cell r="O127">
            <v>3503030702</v>
          </cell>
          <cell r="Q127" t="str">
            <v>მონეტარული ზღვრების დაცვით</v>
          </cell>
        </row>
        <row r="128">
          <cell r="K128" t="str">
            <v>98300000</v>
          </cell>
          <cell r="L128">
            <v>600</v>
          </cell>
          <cell r="N128" t="str">
            <v>სახელმწიფო ბიუჯეტი</v>
          </cell>
          <cell r="O128">
            <v>350106</v>
          </cell>
          <cell r="Q128" t="str">
            <v>მონეტარული ზღვრების დაცვით</v>
          </cell>
        </row>
        <row r="129">
          <cell r="K129" t="str">
            <v>44400000</v>
          </cell>
          <cell r="L129">
            <v>280</v>
          </cell>
          <cell r="N129" t="str">
            <v>სახელმწიფო ბიუჯეტი</v>
          </cell>
          <cell r="O129">
            <v>350106</v>
          </cell>
          <cell r="Q129" t="str">
            <v>მონეტარული ზღვრების დაცვით</v>
          </cell>
        </row>
        <row r="130">
          <cell r="K130">
            <v>15900000</v>
          </cell>
          <cell r="L130">
            <v>1380</v>
          </cell>
          <cell r="N130" t="str">
            <v>სახელმწიფო ბიუჯეტი</v>
          </cell>
          <cell r="O130">
            <v>350106</v>
          </cell>
          <cell r="Q130" t="str">
            <v>მონეტარული ზღვრების დაცვით</v>
          </cell>
        </row>
        <row r="131">
          <cell r="K131" t="str">
            <v>38200000</v>
          </cell>
          <cell r="L131">
            <v>200</v>
          </cell>
          <cell r="N131" t="str">
            <v>საკუთარი შემოსავლები</v>
          </cell>
          <cell r="O131">
            <v>350106</v>
          </cell>
          <cell r="Q131" t="str">
            <v>მონეტარული ზღვრების დაცვით</v>
          </cell>
        </row>
        <row r="132">
          <cell r="K132" t="str">
            <v>33100000</v>
          </cell>
          <cell r="L132">
            <v>830</v>
          </cell>
          <cell r="N132" t="str">
            <v>საკუთარი შემოსავლები</v>
          </cell>
          <cell r="O132">
            <v>3503030702</v>
          </cell>
          <cell r="Q132" t="str">
            <v>მონეტარული ზღვრების დაცვით</v>
          </cell>
        </row>
        <row r="133">
          <cell r="K133" t="str">
            <v>50700000</v>
          </cell>
          <cell r="L133">
            <v>1440</v>
          </cell>
          <cell r="N133" t="str">
            <v>სახელმწიფო ბიუჯეტი</v>
          </cell>
          <cell r="O133">
            <v>350106</v>
          </cell>
          <cell r="Q133" t="str">
            <v>მონეტარული ზღვრების დაცვით</v>
          </cell>
        </row>
        <row r="134">
          <cell r="K134" t="str">
            <v>31700000</v>
          </cell>
          <cell r="L134">
            <v>32</v>
          </cell>
          <cell r="N134" t="str">
            <v>სახელმწიფო ბიუჯეტი</v>
          </cell>
          <cell r="O134">
            <v>350106</v>
          </cell>
          <cell r="Q134" t="str">
            <v>მონეტარული ზღვრების დაცვით</v>
          </cell>
        </row>
        <row r="135">
          <cell r="K135" t="str">
            <v>34900000</v>
          </cell>
          <cell r="L135">
            <v>9</v>
          </cell>
          <cell r="N135" t="str">
            <v>სახელმწიფო ბიუჯეტი</v>
          </cell>
          <cell r="O135">
            <v>350106</v>
          </cell>
          <cell r="Q135" t="str">
            <v>მონეტარული ზღვრების დაცვით</v>
          </cell>
        </row>
        <row r="136">
          <cell r="K136" t="str">
            <v>35100000</v>
          </cell>
          <cell r="L136">
            <v>420</v>
          </cell>
          <cell r="N136" t="str">
            <v>სახელმწიფო ბიუჯეტი</v>
          </cell>
          <cell r="O136">
            <v>350106</v>
          </cell>
          <cell r="Q136" t="str">
            <v>მონეტარული ზღვრების დაცვით</v>
          </cell>
        </row>
        <row r="137">
          <cell r="K137" t="str">
            <v>44100000</v>
          </cell>
          <cell r="L137">
            <v>100</v>
          </cell>
          <cell r="N137" t="str">
            <v>სახელმწიფო ბიუჯეტი</v>
          </cell>
          <cell r="O137">
            <v>350106</v>
          </cell>
          <cell r="Q137" t="str">
            <v>მონეტარული ზღვრების დაცვით</v>
          </cell>
        </row>
        <row r="138">
          <cell r="K138" t="str">
            <v>42100000</v>
          </cell>
          <cell r="L138">
            <v>240</v>
          </cell>
          <cell r="N138" t="str">
            <v>სახელმწიფო ბიუჯეტი</v>
          </cell>
          <cell r="O138">
            <v>350106</v>
          </cell>
          <cell r="Q138" t="str">
            <v>მონეტარული ზღვრების დაცვით</v>
          </cell>
        </row>
        <row r="139">
          <cell r="K139" t="str">
            <v>44400000</v>
          </cell>
          <cell r="L139">
            <v>9</v>
          </cell>
          <cell r="N139" t="str">
            <v>სახელმწიფო ბიუჯეტი</v>
          </cell>
          <cell r="O139">
            <v>350106</v>
          </cell>
          <cell r="Q139" t="str">
            <v>მონეტარული ზღვრების დაცვით</v>
          </cell>
        </row>
        <row r="140">
          <cell r="K140" t="str">
            <v>44500000</v>
          </cell>
          <cell r="L140">
            <v>20</v>
          </cell>
          <cell r="N140" t="str">
            <v>სახელმწიფო ბიუჯეტი</v>
          </cell>
          <cell r="O140">
            <v>350106</v>
          </cell>
          <cell r="Q140" t="str">
            <v>მონეტარული ზღვრების დაცვით</v>
          </cell>
        </row>
        <row r="141">
          <cell r="K141" t="str">
            <v>42600000</v>
          </cell>
          <cell r="L141">
            <v>60</v>
          </cell>
          <cell r="N141" t="str">
            <v>სახელმწიფო ბიუჯეტი</v>
          </cell>
          <cell r="O141">
            <v>350106</v>
          </cell>
          <cell r="Q141" t="str">
            <v>მონეტარული ზღვრების დაცვით</v>
          </cell>
        </row>
        <row r="142">
          <cell r="K142" t="str">
            <v>30100000</v>
          </cell>
          <cell r="L142">
            <v>150</v>
          </cell>
          <cell r="N142" t="str">
            <v>საკუთარი შემოსავლები</v>
          </cell>
          <cell r="O142">
            <v>350106</v>
          </cell>
          <cell r="Q142" t="str">
            <v>მონეტარული ზღვრების დაცვით</v>
          </cell>
        </row>
        <row r="143">
          <cell r="K143" t="str">
            <v>33600000</v>
          </cell>
          <cell r="L143">
            <v>171</v>
          </cell>
          <cell r="N143" t="str">
            <v>საკუთარი შემოსავლები</v>
          </cell>
          <cell r="O143">
            <v>3503030702</v>
          </cell>
          <cell r="Q143" t="str">
            <v>მონეტარული ზღვრების დაცვით</v>
          </cell>
        </row>
        <row r="144">
          <cell r="K144" t="str">
            <v>42900000</v>
          </cell>
          <cell r="L144">
            <v>116.5</v>
          </cell>
          <cell r="N144" t="str">
            <v>საკუთარი შემოსავლები</v>
          </cell>
          <cell r="O144">
            <v>3503030702</v>
          </cell>
          <cell r="Q144" t="str">
            <v>მონეტარული ზღვრების დაცვით</v>
          </cell>
        </row>
        <row r="145">
          <cell r="K145" t="str">
            <v>22400000</v>
          </cell>
          <cell r="L145">
            <v>116.5</v>
          </cell>
          <cell r="N145" t="str">
            <v>საკუთარი შემოსავლები</v>
          </cell>
          <cell r="O145">
            <v>3503030702</v>
          </cell>
          <cell r="Q145" t="str">
            <v>მონეტარული ზღვრების დაცვით</v>
          </cell>
        </row>
        <row r="146">
          <cell r="K146" t="str">
            <v>24200000</v>
          </cell>
          <cell r="L146">
            <v>383.6</v>
          </cell>
          <cell r="N146" t="str">
            <v>საკუთარი შემოსავლები</v>
          </cell>
          <cell r="O146">
            <v>3503030702</v>
          </cell>
          <cell r="Q146" t="str">
            <v>მონეტარული ზღვრების დაცვით</v>
          </cell>
        </row>
        <row r="147">
          <cell r="K147" t="str">
            <v>31700000</v>
          </cell>
          <cell r="L147">
            <v>47.84</v>
          </cell>
          <cell r="N147" t="str">
            <v>სახელმწიფო ბიუჯეტი</v>
          </cell>
          <cell r="O147">
            <v>3503030702</v>
          </cell>
          <cell r="Q147" t="str">
            <v>მონეტარული ზღვრების დაცვით</v>
          </cell>
        </row>
        <row r="148">
          <cell r="K148" t="str">
            <v>42100000</v>
          </cell>
          <cell r="L148">
            <v>48.23</v>
          </cell>
          <cell r="N148" t="str">
            <v>სახელმწიფო ბიუჯეტი</v>
          </cell>
          <cell r="O148">
            <v>3503030702</v>
          </cell>
          <cell r="Q148" t="str">
            <v>მონეტარული ზღვრების დაცვით</v>
          </cell>
        </row>
        <row r="149">
          <cell r="K149" t="str">
            <v>44100000</v>
          </cell>
          <cell r="L149">
            <v>77.33</v>
          </cell>
          <cell r="N149" t="str">
            <v>სახელმწიფო ბიუჯეტი</v>
          </cell>
          <cell r="O149">
            <v>3503030702</v>
          </cell>
          <cell r="Q149" t="str">
            <v>მონეტარული ზღვრების დაცვით</v>
          </cell>
        </row>
        <row r="150">
          <cell r="K150" t="str">
            <v>45200000</v>
          </cell>
          <cell r="L150">
            <v>400</v>
          </cell>
          <cell r="N150" t="str">
            <v>საკუთარი შემოსავლები</v>
          </cell>
          <cell r="O150">
            <v>350106</v>
          </cell>
          <cell r="Q150" t="str">
            <v>მონეტარული ზღვრების დაცვით</v>
          </cell>
        </row>
        <row r="151">
          <cell r="K151" t="str">
            <v>45400000</v>
          </cell>
          <cell r="L151">
            <v>756.25</v>
          </cell>
          <cell r="N151" t="str">
            <v>საკუთარი შემოსავლები</v>
          </cell>
          <cell r="O151">
            <v>350106</v>
          </cell>
          <cell r="Q151" t="str">
            <v>მონეტარული ზღვრების დაცვით</v>
          </cell>
        </row>
        <row r="152">
          <cell r="K152" t="str">
            <v>50100000</v>
          </cell>
          <cell r="L152">
            <v>20000</v>
          </cell>
          <cell r="N152" t="str">
            <v>სახელმწიფო ბიუჯეტი</v>
          </cell>
          <cell r="O152">
            <v>3503030702</v>
          </cell>
          <cell r="Q152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  <row r="153">
          <cell r="K153" t="str">
            <v>09100000</v>
          </cell>
          <cell r="L153">
            <v>35855</v>
          </cell>
          <cell r="N153" t="str">
            <v>სახელმწიფო ბიუჯეტი</v>
          </cell>
          <cell r="O153">
            <v>3503030702</v>
          </cell>
          <cell r="Q153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54">
          <cell r="K154" t="str">
            <v>09100000</v>
          </cell>
          <cell r="L154">
            <v>32245</v>
          </cell>
          <cell r="N154" t="str">
            <v>სახელმწიფო ბიუჯეტი</v>
          </cell>
          <cell r="O154">
            <v>3503030702</v>
          </cell>
          <cell r="Q154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55">
          <cell r="K155" t="str">
            <v>09100000</v>
          </cell>
          <cell r="L155">
            <v>52250</v>
          </cell>
          <cell r="N155" t="str">
            <v>სახელმწიფო ბიუჯეტი</v>
          </cell>
          <cell r="O155">
            <v>3503030702</v>
          </cell>
          <cell r="Q155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56">
          <cell r="K156" t="str">
            <v>09100000</v>
          </cell>
          <cell r="L156">
            <v>6450</v>
          </cell>
          <cell r="N156" t="str">
            <v>სახელმწიფო ბიუჯეტი</v>
          </cell>
          <cell r="O156">
            <v>3503030702</v>
          </cell>
          <cell r="Q156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57">
          <cell r="K157" t="str">
            <v>09100000</v>
          </cell>
          <cell r="L157">
            <v>9008</v>
          </cell>
          <cell r="N157" t="str">
            <v>სახელმწიფო ბიუჯეტი</v>
          </cell>
          <cell r="O157">
            <v>3503030702</v>
          </cell>
          <cell r="Q157" t="str">
            <v>სახელმწიფო შესყიდვების სააგენტოს თავმჯდომარის 2014 წლის 4 დეკემბრის №11 ბრძანების მე-5 მუხლის მე-6 პუნქტის შესაბამისად</v>
          </cell>
        </row>
        <row r="158">
          <cell r="K158" t="str">
            <v>33600000</v>
          </cell>
          <cell r="L158">
            <v>187.4</v>
          </cell>
          <cell r="N158" t="str">
            <v>საკუთარი შემოსავლები</v>
          </cell>
          <cell r="O158">
            <v>3503030702</v>
          </cell>
          <cell r="Q158" t="str">
            <v>მონეტარული ზღვრების დაცვით</v>
          </cell>
        </row>
        <row r="159">
          <cell r="K159" t="str">
            <v>42100000</v>
          </cell>
          <cell r="L159">
            <v>720</v>
          </cell>
          <cell r="N159" t="str">
            <v>საკუთარი შემოსავლები</v>
          </cell>
          <cell r="O159">
            <v>3503030702</v>
          </cell>
          <cell r="Q159" t="str">
            <v>მონეტარული ზღვრების დაცვით</v>
          </cell>
        </row>
        <row r="160">
          <cell r="K160" t="str">
            <v>14800000</v>
          </cell>
          <cell r="L160">
            <v>250</v>
          </cell>
          <cell r="N160" t="str">
            <v>სახელმწიფო ბიუჯეტი</v>
          </cell>
          <cell r="O160">
            <v>350106</v>
          </cell>
          <cell r="Q160" t="str">
            <v>მონეტარული ზღვრების დაცვით</v>
          </cell>
        </row>
        <row r="161">
          <cell r="K161" t="str">
            <v>71200000</v>
          </cell>
          <cell r="L161">
            <v>130.9</v>
          </cell>
          <cell r="N161" t="str">
            <v>სახელმწიფო ბიუჯეტი</v>
          </cell>
          <cell r="O161">
            <v>3503030702</v>
          </cell>
          <cell r="Q161" t="str">
            <v>მონეტარული ზღვრების დაცვით</v>
          </cell>
        </row>
        <row r="162">
          <cell r="K162" t="str">
            <v>22400000</v>
          </cell>
          <cell r="L162">
            <v>700</v>
          </cell>
          <cell r="N162" t="str">
            <v>საკუთარი შემოსავლები</v>
          </cell>
          <cell r="O162">
            <v>3503030702</v>
          </cell>
          <cell r="Q162" t="str">
            <v>მონეტარული ზღვრების დაცვით</v>
          </cell>
        </row>
        <row r="163">
          <cell r="K163" t="str">
            <v>33600000</v>
          </cell>
          <cell r="L163">
            <v>475.2</v>
          </cell>
          <cell r="N163" t="str">
            <v>საკუთარი შემოსავლები</v>
          </cell>
          <cell r="O163">
            <v>3503030702</v>
          </cell>
          <cell r="Q163" t="str">
            <v>მონეტარული ზღვრების დაცვით</v>
          </cell>
        </row>
        <row r="164">
          <cell r="K164" t="str">
            <v>22400000</v>
          </cell>
          <cell r="L164">
            <v>1275.01</v>
          </cell>
          <cell r="N164" t="str">
            <v>საკუთარი შემოსავლები</v>
          </cell>
          <cell r="O164">
            <v>350106</v>
          </cell>
          <cell r="Q164" t="str">
            <v>მონეტარული ზღვრების დაცვით</v>
          </cell>
        </row>
        <row r="165">
          <cell r="K165" t="str">
            <v>35800000</v>
          </cell>
          <cell r="L165">
            <v>990</v>
          </cell>
          <cell r="N165" t="str">
            <v>საკუთარი შემოსავლები</v>
          </cell>
          <cell r="O165">
            <v>350106</v>
          </cell>
          <cell r="Q165" t="str">
            <v>მონეტარული ზღვრების დაცვით</v>
          </cell>
        </row>
        <row r="166">
          <cell r="K166" t="str">
            <v>80500000</v>
          </cell>
          <cell r="L166">
            <v>150</v>
          </cell>
          <cell r="N166" t="str">
            <v>სახელმწიფო ბიუჯეტი</v>
          </cell>
          <cell r="O166">
            <v>350106</v>
          </cell>
          <cell r="Q166" t="str">
            <v>მონეტარული ზღვრების დაცვით</v>
          </cell>
        </row>
        <row r="167">
          <cell r="K167" t="str">
            <v>48400000</v>
          </cell>
          <cell r="L167">
            <v>701</v>
          </cell>
          <cell r="N167" t="str">
            <v>საკუთარი შემოსავლები</v>
          </cell>
          <cell r="O167">
            <v>350106</v>
          </cell>
          <cell r="Q167" t="str">
            <v>მონეტარული ზღვრების დაცვით</v>
          </cell>
        </row>
        <row r="168">
          <cell r="K168" t="str">
            <v>79500000</v>
          </cell>
          <cell r="L168">
            <v>160</v>
          </cell>
          <cell r="N168" t="str">
            <v>სახელმწიფო ბიუჯეტი</v>
          </cell>
          <cell r="O168">
            <v>350106</v>
          </cell>
          <cell r="Q168" t="str">
            <v>მონეტარული ზღვრების დაცვით</v>
          </cell>
        </row>
        <row r="169">
          <cell r="K169" t="str">
            <v>79100000</v>
          </cell>
          <cell r="L169">
            <v>34</v>
          </cell>
          <cell r="N169" t="str">
            <v>სახელმწიფო ბიუჯეტი</v>
          </cell>
          <cell r="O169">
            <v>350106</v>
          </cell>
          <cell r="Q169" t="str">
            <v>მონეტარული ზღვრების დაცვით</v>
          </cell>
        </row>
        <row r="170">
          <cell r="K170" t="str">
            <v>32300000</v>
          </cell>
          <cell r="L170">
            <v>296.39999999999998</v>
          </cell>
          <cell r="N170" t="str">
            <v>სახელმწიფო ბიუჯეტი</v>
          </cell>
          <cell r="O170">
            <v>350106</v>
          </cell>
          <cell r="Q170" t="str">
            <v>მონეტარული ზღვრების დაცვით</v>
          </cell>
        </row>
        <row r="171">
          <cell r="K171" t="str">
            <v>50100000</v>
          </cell>
          <cell r="L171">
            <v>20000</v>
          </cell>
          <cell r="N171" t="str">
            <v>სახელმწიფო ბიუჯეტი</v>
          </cell>
          <cell r="O171">
            <v>3503030702</v>
          </cell>
          <cell r="Q171" t="str">
            <v>„სახელმწიფო შესყიდვების შესახებ“ საქართველოს კანონის მე–101 მუხლის 3 პუნქტის „თ“  ქვეპუნქტი</v>
          </cell>
        </row>
      </sheetData>
      <sheetData sheetId="1">
        <row r="1">
          <cell r="G1" t="str">
            <v>CPV</v>
          </cell>
          <cell r="N1" t="str">
            <v>ღირებულება CPV-ის ან/და პროგრამული კოდის მიხედვით</v>
          </cell>
          <cell r="Q1" t="str">
            <v xml:space="preserve">დაფინანსების წყარო </v>
          </cell>
          <cell r="R1" t="str">
            <v>პროგრამული კოდი</v>
          </cell>
        </row>
        <row r="2">
          <cell r="G2" t="str">
            <v>50100000</v>
          </cell>
          <cell r="N2">
            <v>100000</v>
          </cell>
          <cell r="Q2" t="str">
            <v>სახელმწიფო ბიუჯეტი</v>
          </cell>
          <cell r="R2">
            <v>350106</v>
          </cell>
        </row>
        <row r="3">
          <cell r="G3" t="str">
            <v>50100000</v>
          </cell>
          <cell r="N3">
            <v>1400000</v>
          </cell>
          <cell r="Q3" t="str">
            <v>სახელმწიფო ბიუჯეტი</v>
          </cell>
          <cell r="R3">
            <v>3503030702</v>
          </cell>
        </row>
        <row r="4">
          <cell r="G4" t="str">
            <v>66500000</v>
          </cell>
          <cell r="N4">
            <v>259000</v>
          </cell>
          <cell r="Q4" t="str">
            <v>სახელმწიფო ბიუჯეტი</v>
          </cell>
          <cell r="R4">
            <v>3503030702</v>
          </cell>
        </row>
        <row r="5">
          <cell r="G5" t="str">
            <v>66500000</v>
          </cell>
          <cell r="N5">
            <v>4396</v>
          </cell>
          <cell r="Q5" t="str">
            <v>სახელმწიფო ბიუჯეტი</v>
          </cell>
          <cell r="R5">
            <v>350106</v>
          </cell>
        </row>
        <row r="6">
          <cell r="G6" t="str">
            <v>33100000</v>
          </cell>
          <cell r="N6">
            <v>264245</v>
          </cell>
          <cell r="Q6" t="str">
            <v>სახელმწიფო ბიუჯეტი</v>
          </cell>
          <cell r="R6">
            <v>3503030702</v>
          </cell>
        </row>
        <row r="7">
          <cell r="G7" t="str">
            <v>33600000</v>
          </cell>
          <cell r="N7">
            <v>297999</v>
          </cell>
          <cell r="Q7" t="str">
            <v>სახელმწიფო ბიუჯეტი</v>
          </cell>
          <cell r="R7">
            <v>3503030702</v>
          </cell>
        </row>
        <row r="8">
          <cell r="G8" t="str">
            <v>33100000</v>
          </cell>
          <cell r="N8">
            <v>15300</v>
          </cell>
          <cell r="Q8" t="str">
            <v>სახელმწიფო ბიუჯეტი</v>
          </cell>
          <cell r="R8">
            <v>3503030702</v>
          </cell>
        </row>
        <row r="9">
          <cell r="G9" t="str">
            <v>24100000</v>
          </cell>
          <cell r="N9">
            <v>10200</v>
          </cell>
          <cell r="Q9" t="str">
            <v>სახელმწიფო ბიუჯეტი</v>
          </cell>
          <cell r="R9">
            <v>3503030702</v>
          </cell>
        </row>
        <row r="10">
          <cell r="G10" t="str">
            <v>24100000</v>
          </cell>
          <cell r="N10">
            <v>4850</v>
          </cell>
          <cell r="Q10" t="str">
            <v>სახელმწიფო ბიუჯეტი</v>
          </cell>
          <cell r="R10">
            <v>3503030702</v>
          </cell>
        </row>
        <row r="11">
          <cell r="G11" t="str">
            <v>90500000</v>
          </cell>
          <cell r="N11">
            <v>122476</v>
          </cell>
          <cell r="Q11" t="str">
            <v>სახელმწიფო ბიუჯეტი</v>
          </cell>
          <cell r="R11">
            <v>3503030702</v>
          </cell>
        </row>
        <row r="12">
          <cell r="G12" t="str">
            <v>33600000</v>
          </cell>
          <cell r="N12">
            <v>139329</v>
          </cell>
          <cell r="Q12" t="str">
            <v>სახელმწიფო ბიუჯეტი</v>
          </cell>
          <cell r="R12">
            <v>3503030702</v>
          </cell>
        </row>
        <row r="13">
          <cell r="G13" t="str">
            <v>24100000</v>
          </cell>
          <cell r="N13">
            <v>13625</v>
          </cell>
          <cell r="Q13" t="str">
            <v>სახელმწიფო ბიუჯეტი</v>
          </cell>
          <cell r="R13">
            <v>3503030702</v>
          </cell>
        </row>
        <row r="14">
          <cell r="G14" t="str">
            <v>79800000</v>
          </cell>
          <cell r="N14">
            <v>39868.199999999997</v>
          </cell>
          <cell r="Q14" t="str">
            <v>სახელმწიფო ბიუჯეტი</v>
          </cell>
          <cell r="R14">
            <v>3503030702</v>
          </cell>
        </row>
        <row r="15">
          <cell r="G15" t="str">
            <v>30100000</v>
          </cell>
          <cell r="N15">
            <v>9171.7900000000009</v>
          </cell>
          <cell r="Q15" t="str">
            <v>სახელმწიფო ბიუჯეტი</v>
          </cell>
          <cell r="R15">
            <v>3503030702</v>
          </cell>
        </row>
        <row r="16">
          <cell r="G16" t="str">
            <v>66500000</v>
          </cell>
          <cell r="N16">
            <v>54998.09</v>
          </cell>
          <cell r="Q16" t="str">
            <v>სახელმწიფო ბიუჯეტი</v>
          </cell>
          <cell r="R16">
            <v>3503030702</v>
          </cell>
        </row>
        <row r="17">
          <cell r="G17">
            <v>39800000</v>
          </cell>
          <cell r="N17">
            <v>15595</v>
          </cell>
          <cell r="Q17" t="str">
            <v>სახელმწიფო ბიუჯეტი</v>
          </cell>
          <cell r="R17">
            <v>3503030702</v>
          </cell>
        </row>
        <row r="18">
          <cell r="G18">
            <v>44500000</v>
          </cell>
          <cell r="N18">
            <v>15219</v>
          </cell>
          <cell r="Q18" t="str">
            <v>სახელმწიფო ბიუჯეტი</v>
          </cell>
          <cell r="R18">
            <v>3503030702</v>
          </cell>
        </row>
        <row r="19">
          <cell r="G19" t="str">
            <v>79800000</v>
          </cell>
          <cell r="N19">
            <v>1532.82</v>
          </cell>
          <cell r="Q19" t="str">
            <v>სახელმწიფო ბიუჯეტი</v>
          </cell>
          <cell r="R19">
            <v>350106</v>
          </cell>
        </row>
        <row r="20">
          <cell r="G20" t="str">
            <v>33600000</v>
          </cell>
          <cell r="N20">
            <v>8548.1</v>
          </cell>
          <cell r="Q20" t="str">
            <v>სახელმწიფო ბიუჯეტი</v>
          </cell>
          <cell r="R20">
            <v>3503030702</v>
          </cell>
        </row>
        <row r="21">
          <cell r="G21" t="str">
            <v>50300000</v>
          </cell>
          <cell r="N21">
            <v>8724.7999999999993</v>
          </cell>
          <cell r="Q21" t="str">
            <v>სახელმწიფო ბიუჯეტი</v>
          </cell>
          <cell r="R21">
            <v>3503030702</v>
          </cell>
        </row>
        <row r="22">
          <cell r="G22" t="str">
            <v>79700000</v>
          </cell>
          <cell r="N22">
            <v>16196.56</v>
          </cell>
          <cell r="Q22" t="str">
            <v>სახელმწიფო ბიუჯეტი</v>
          </cell>
          <cell r="R22">
            <v>350106</v>
          </cell>
        </row>
        <row r="23">
          <cell r="G23" t="str">
            <v>33100000</v>
          </cell>
          <cell r="N23">
            <v>18000</v>
          </cell>
          <cell r="Q23" t="str">
            <v>სახელმწიფო ბიუჯეტი</v>
          </cell>
          <cell r="R23">
            <v>3503030702</v>
          </cell>
        </row>
        <row r="24">
          <cell r="G24">
            <v>31400000</v>
          </cell>
          <cell r="N24">
            <v>20169</v>
          </cell>
          <cell r="Q24" t="str">
            <v>სახელმწიფო ბიუჯეტი</v>
          </cell>
          <cell r="R24">
            <v>3503030702</v>
          </cell>
        </row>
        <row r="25">
          <cell r="G25" t="str">
            <v>33100000</v>
          </cell>
          <cell r="N25">
            <v>11689</v>
          </cell>
          <cell r="Q25" t="str">
            <v>სახელმწიფო ბიუჯეტი</v>
          </cell>
          <cell r="R25">
            <v>3503030702</v>
          </cell>
        </row>
        <row r="26">
          <cell r="G26">
            <v>63700000</v>
          </cell>
          <cell r="N26">
            <v>57923.25</v>
          </cell>
          <cell r="Q26" t="str">
            <v>სახელმწიფო ბიუჯეტი</v>
          </cell>
          <cell r="R26">
            <v>3503030702</v>
          </cell>
        </row>
        <row r="27">
          <cell r="G27">
            <v>50100000</v>
          </cell>
          <cell r="N27">
            <v>4800</v>
          </cell>
          <cell r="Q27" t="str">
            <v>სახელმწიფო ბიუჯეტი</v>
          </cell>
          <cell r="R27">
            <v>3503030702</v>
          </cell>
        </row>
        <row r="28">
          <cell r="G28" t="str">
            <v>66500000</v>
          </cell>
          <cell r="N28">
            <v>79000</v>
          </cell>
          <cell r="Q28" t="str">
            <v>სახელმწიფო ბიუჯეტი</v>
          </cell>
          <cell r="R28">
            <v>3503030702</v>
          </cell>
        </row>
        <row r="29">
          <cell r="G29" t="str">
            <v>55500000</v>
          </cell>
          <cell r="N29">
            <v>10000</v>
          </cell>
          <cell r="Q29" t="str">
            <v>სახელმწიფო ბიუჯეტი</v>
          </cell>
          <cell r="R29">
            <v>350106</v>
          </cell>
        </row>
        <row r="30">
          <cell r="G30" t="str">
            <v>33100000</v>
          </cell>
          <cell r="N30">
            <v>22320</v>
          </cell>
          <cell r="Q30" t="str">
            <v>სახელმწიფო ბიუჯეტი</v>
          </cell>
          <cell r="R30">
            <v>3503030702</v>
          </cell>
        </row>
        <row r="31">
          <cell r="G31" t="str">
            <v>50100000</v>
          </cell>
          <cell r="N31">
            <v>9000</v>
          </cell>
          <cell r="Q31" t="str">
            <v>სახელმწიფო ბიუჯეტი</v>
          </cell>
          <cell r="R31">
            <v>3503030702</v>
          </cell>
        </row>
        <row r="32">
          <cell r="G32" t="str">
            <v>50100000</v>
          </cell>
          <cell r="N32">
            <v>25000</v>
          </cell>
          <cell r="Q32" t="str">
            <v>სახელმწიფო ბიუჯეტი</v>
          </cell>
          <cell r="R32">
            <v>3503030702</v>
          </cell>
        </row>
        <row r="33">
          <cell r="G33" t="str">
            <v>79800000</v>
          </cell>
          <cell r="N33">
            <v>940</v>
          </cell>
          <cell r="Q33" t="str">
            <v>სახელმწიფო ბიუჯეტი</v>
          </cell>
          <cell r="R33">
            <v>3503030702</v>
          </cell>
        </row>
        <row r="34">
          <cell r="G34" t="str">
            <v>33100000</v>
          </cell>
          <cell r="N34">
            <v>11796</v>
          </cell>
          <cell r="Q34" t="str">
            <v>სახელმწიფო ბიუჯეტი</v>
          </cell>
          <cell r="R34">
            <v>3503030702</v>
          </cell>
        </row>
        <row r="35">
          <cell r="G35" t="str">
            <v>33100000</v>
          </cell>
          <cell r="N35">
            <v>1035</v>
          </cell>
          <cell r="Q35" t="str">
            <v>სახელმწიფო ბიუჯეტი</v>
          </cell>
          <cell r="R35">
            <v>3503030702</v>
          </cell>
        </row>
      </sheetData>
      <sheetData sheetId="2">
        <row r="1">
          <cell r="E1" t="str">
            <v>CPV</v>
          </cell>
          <cell r="L1" t="str">
            <v>ღირებულება</v>
          </cell>
          <cell r="N1" t="str">
            <v>დაფინანსების წყარო</v>
          </cell>
          <cell r="O1" t="str">
            <v>პროგრამული კოდი</v>
          </cell>
        </row>
        <row r="2">
          <cell r="E2" t="str">
            <v>09100000</v>
          </cell>
          <cell r="L2">
            <v>1550430</v>
          </cell>
          <cell r="N2" t="str">
            <v>სახელმწიფო ბიუჯეტი</v>
          </cell>
          <cell r="O2">
            <v>3503030702</v>
          </cell>
        </row>
        <row r="3">
          <cell r="E3" t="str">
            <v>09100000</v>
          </cell>
          <cell r="L3">
            <v>80080</v>
          </cell>
          <cell r="N3" t="str">
            <v>სახელმწიფო ბიუჯეტი</v>
          </cell>
          <cell r="O3">
            <v>350106</v>
          </cell>
        </row>
        <row r="4">
          <cell r="E4" t="str">
            <v>09100000</v>
          </cell>
          <cell r="L4">
            <v>77770</v>
          </cell>
          <cell r="N4" t="str">
            <v>სახელმწიფო ბიუჯეტი</v>
          </cell>
          <cell r="O4">
            <v>3503030702</v>
          </cell>
        </row>
        <row r="5">
          <cell r="E5">
            <v>34300000</v>
          </cell>
          <cell r="L5">
            <v>4940</v>
          </cell>
          <cell r="N5" t="str">
            <v>სახელმწიფო ბიუჯეტი</v>
          </cell>
          <cell r="O5">
            <v>3503030702</v>
          </cell>
        </row>
        <row r="6">
          <cell r="E6" t="str">
            <v>09100000</v>
          </cell>
          <cell r="L6">
            <v>936</v>
          </cell>
          <cell r="N6" t="str">
            <v>გრანტი</v>
          </cell>
          <cell r="O6">
            <v>350106</v>
          </cell>
        </row>
        <row r="7">
          <cell r="E7" t="str">
            <v>64200000</v>
          </cell>
          <cell r="L7">
            <v>20000</v>
          </cell>
          <cell r="N7" t="str">
            <v>სახელმწიფო ბიუჯეტი</v>
          </cell>
          <cell r="O7">
            <v>3503030702</v>
          </cell>
        </row>
        <row r="8">
          <cell r="E8" t="str">
            <v>30100000</v>
          </cell>
          <cell r="L8">
            <v>1810</v>
          </cell>
          <cell r="N8" t="str">
            <v>სახელმწიფო ბიუჯეტი</v>
          </cell>
          <cell r="O8">
            <v>350106</v>
          </cell>
        </row>
        <row r="9">
          <cell r="E9" t="str">
            <v>64200000</v>
          </cell>
          <cell r="L9">
            <v>1500</v>
          </cell>
          <cell r="N9" t="str">
            <v>სახელმწიფო ბიუჯეტი</v>
          </cell>
          <cell r="O9">
            <v>3503030702</v>
          </cell>
        </row>
        <row r="10">
          <cell r="E10" t="str">
            <v>34300000</v>
          </cell>
          <cell r="L10">
            <v>5600</v>
          </cell>
          <cell r="N10" t="str">
            <v>სახელმწიფო ბიუჯეტი</v>
          </cell>
          <cell r="O10">
            <v>3503030702</v>
          </cell>
        </row>
        <row r="11">
          <cell r="E11" t="str">
            <v>34300000</v>
          </cell>
          <cell r="L11">
            <v>8700</v>
          </cell>
          <cell r="N11" t="str">
            <v>სახელმწიფო ბიუჯეტი</v>
          </cell>
          <cell r="O11">
            <v>3503030702</v>
          </cell>
        </row>
        <row r="12">
          <cell r="E12" t="str">
            <v>30100000</v>
          </cell>
          <cell r="L12">
            <v>1825</v>
          </cell>
          <cell r="N12" t="str">
            <v>სახელმწიფო ბიუჯეტი</v>
          </cell>
          <cell r="O12">
            <v>3503030702</v>
          </cell>
        </row>
        <row r="13">
          <cell r="E13">
            <v>34300000</v>
          </cell>
          <cell r="L13">
            <v>86390</v>
          </cell>
          <cell r="N13" t="str">
            <v>სახელმწიფო ბიუჯეტი</v>
          </cell>
          <cell r="O13">
            <v>3503030702</v>
          </cell>
        </row>
        <row r="14">
          <cell r="E14">
            <v>34300000</v>
          </cell>
          <cell r="L14">
            <v>1640</v>
          </cell>
          <cell r="N14" t="str">
            <v>სახელმწიფო ბიუჯეტი</v>
          </cell>
          <cell r="O14">
            <v>3503030702</v>
          </cell>
        </row>
        <row r="15">
          <cell r="E15">
            <v>34300000</v>
          </cell>
          <cell r="L15">
            <v>16798</v>
          </cell>
          <cell r="N15" t="str">
            <v>სახელმწიფო ბიუჯეტი</v>
          </cell>
          <cell r="O15">
            <v>3503030702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6"/>
  <sheetViews>
    <sheetView tabSelected="1" view="pageBreakPreview" zoomScaleNormal="100" zoomScaleSheetLayoutView="100" workbookViewId="0">
      <selection activeCell="C150" sqref="C150"/>
    </sheetView>
  </sheetViews>
  <sheetFormatPr defaultRowHeight="15" x14ac:dyDescent="0.25"/>
  <cols>
    <col min="1" max="1" width="4.42578125" style="89" customWidth="1"/>
    <col min="2" max="2" width="12.140625" style="108" bestFit="1" customWidth="1"/>
    <col min="3" max="3" width="31.7109375" style="97" bestFit="1" customWidth="1"/>
    <col min="4" max="4" width="14.5703125" style="98" bestFit="1" customWidth="1"/>
    <col min="5" max="5" width="149.28515625" style="99" customWidth="1"/>
    <col min="6" max="6" width="18.85546875" style="100" bestFit="1" customWidth="1"/>
    <col min="7" max="7" width="22" style="90" bestFit="1" customWidth="1"/>
    <col min="8" max="8" width="13.7109375" style="3" bestFit="1" customWidth="1"/>
    <col min="9" max="9" width="20.28515625" style="3" customWidth="1"/>
    <col min="10" max="10" width="42.140625" style="101" customWidth="1"/>
    <col min="11" max="11" width="17.85546875" style="63" customWidth="1"/>
    <col min="12" max="12" width="20.5703125" style="63" customWidth="1"/>
    <col min="13" max="13" width="22.140625" style="63" customWidth="1"/>
    <col min="14" max="14" width="24.42578125" style="63" customWidth="1"/>
    <col min="15" max="15" width="16.85546875" style="63" customWidth="1"/>
    <col min="16" max="16" width="22.5703125" style="63" customWidth="1"/>
    <col min="17" max="17" width="19.140625" style="63" customWidth="1"/>
    <col min="18" max="18" width="11.5703125" style="3" bestFit="1" customWidth="1"/>
    <col min="19" max="16384" width="9.140625" style="3"/>
  </cols>
  <sheetData>
    <row r="1" spans="1:18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"/>
      <c r="L1" s="1"/>
      <c r="M1" s="1"/>
      <c r="N1" s="1"/>
      <c r="O1" s="1"/>
      <c r="P1" s="1"/>
      <c r="Q1" s="2"/>
    </row>
    <row r="2" spans="1:18" x14ac:dyDescent="0.25">
      <c r="A2" s="102" t="s">
        <v>1</v>
      </c>
      <c r="B2" s="102"/>
      <c r="C2" s="102"/>
      <c r="D2" s="102"/>
      <c r="E2" s="102"/>
      <c r="F2" s="102"/>
      <c r="G2" s="102"/>
      <c r="H2" s="103" t="s">
        <v>2</v>
      </c>
      <c r="I2" s="103"/>
      <c r="J2" s="103"/>
      <c r="K2" s="4"/>
      <c r="L2" s="4"/>
      <c r="M2" s="4"/>
      <c r="N2" s="4"/>
      <c r="O2" s="4"/>
      <c r="P2" s="4"/>
      <c r="Q2" s="5"/>
    </row>
    <row r="3" spans="1:18" x14ac:dyDescent="0.25">
      <c r="A3" s="103" t="s">
        <v>3</v>
      </c>
      <c r="B3" s="102"/>
      <c r="C3" s="102"/>
      <c r="D3" s="102"/>
      <c r="E3" s="102"/>
      <c r="F3" s="102"/>
      <c r="G3" s="102"/>
      <c r="H3" s="103" t="s">
        <v>4</v>
      </c>
      <c r="I3" s="103"/>
      <c r="J3" s="103"/>
      <c r="K3" s="6">
        <f t="shared" ref="K3:P3" si="0">SUBTOTAL(9,K5:K133)</f>
        <v>464630.46</v>
      </c>
      <c r="L3" s="6">
        <f t="shared" si="0"/>
        <v>3505079545.7599998</v>
      </c>
      <c r="M3" s="6">
        <f t="shared" si="0"/>
        <v>431996</v>
      </c>
      <c r="N3" s="6">
        <f t="shared" si="0"/>
        <v>3504806295</v>
      </c>
      <c r="O3" s="6">
        <f t="shared" si="0"/>
        <v>586627.38</v>
      </c>
      <c r="P3" s="6">
        <f t="shared" si="0"/>
        <v>3505971523.23</v>
      </c>
      <c r="Q3" s="6"/>
    </row>
    <row r="4" spans="1:18" ht="38.25" x14ac:dyDescent="0.25">
      <c r="A4" s="105" t="s">
        <v>5</v>
      </c>
      <c r="B4" s="105"/>
      <c r="C4" s="105"/>
      <c r="D4" s="105"/>
      <c r="E4" s="105"/>
      <c r="F4" s="105"/>
      <c r="G4" s="105"/>
      <c r="H4" s="105"/>
      <c r="I4" s="7">
        <f>SUM(F6:F221)</f>
        <v>10574083</v>
      </c>
      <c r="J4" s="8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  <c r="Q4" s="10" t="s">
        <v>13</v>
      </c>
    </row>
    <row r="5" spans="1:18" ht="51" x14ac:dyDescent="0.25">
      <c r="A5" s="11" t="s">
        <v>14</v>
      </c>
      <c r="B5" s="106" t="s">
        <v>15</v>
      </c>
      <c r="C5" s="12" t="s">
        <v>16</v>
      </c>
      <c r="D5" s="13" t="s">
        <v>17</v>
      </c>
      <c r="E5" s="14" t="s">
        <v>18</v>
      </c>
      <c r="F5" s="15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6">
        <v>350106</v>
      </c>
      <c r="L5" s="16">
        <v>3503030702</v>
      </c>
      <c r="M5" s="16">
        <v>350106</v>
      </c>
      <c r="N5" s="16">
        <v>3503030702</v>
      </c>
      <c r="O5" s="16">
        <v>350106</v>
      </c>
      <c r="P5" s="16">
        <v>3503030702</v>
      </c>
      <c r="Q5" s="10" t="s">
        <v>13</v>
      </c>
    </row>
    <row r="6" spans="1:18" x14ac:dyDescent="0.25">
      <c r="A6" s="17">
        <v>1</v>
      </c>
      <c r="B6" s="81" t="s">
        <v>24</v>
      </c>
      <c r="C6" s="18" t="s">
        <v>25</v>
      </c>
      <c r="D6" s="19">
        <v>3503030702</v>
      </c>
      <c r="E6" s="20" t="s">
        <v>26</v>
      </c>
      <c r="F6" s="21">
        <v>3900</v>
      </c>
      <c r="G6" s="22" t="s">
        <v>27</v>
      </c>
      <c r="H6" s="23">
        <v>43101</v>
      </c>
      <c r="I6" s="23">
        <v>43465</v>
      </c>
      <c r="J6" s="24"/>
      <c r="K6" s="25">
        <f>IF(G6="გამ. შესყიდვა",SUMIFS('[1]გამარტივებული შესყიდვა'!L:L,'[1]გამარტივებული შესყიდვა'!K:K,B6,'[1]გამარტივებული შესყიდვა'!N:N,"სახელმწიფო ბიუჯეტი",'[1]გამარტივებული შესყიდვა'!O:O,"350106"),0)</f>
        <v>0</v>
      </c>
      <c r="L6" s="25">
        <f>IF(G6="გამ. შესყიდვა",SUMIFS('[1]გამარტივებული შესყიდვა'!L:L,'[1]გამარტივებული შესყიდვა'!K:K,B6,'[1]გამარტივებული შესყიდვა'!N:N,"სახელმწიფო ბიუჯეტი",'[1]გამარტივებული შესყიდვა'!O:O,"3503030702"),0)</f>
        <v>0</v>
      </c>
      <c r="M6" s="25">
        <f>IF(G6="კონს. ტენდერი",SUMIFS('[1]კონსოლიდირებული ტენდერი'!L:L,'[1]კონსოლიდირებული ტენდერი'!E:E,B6,'[1]კონსოლიდირებული ტენდერი'!N:N,"სახელმწიფო ბიუჯეტი",'[1]კონსოლიდირებული ტენდერი'!O:O,"350106"),0)</f>
        <v>0</v>
      </c>
      <c r="N6" s="25">
        <f>IF(G6="კონს. ტენდერი",SUMIFS('[1]კონსოლიდირებული ტენდერი'!L:L,'[1]კონსოლიდირებული ტენდერი'!E:E,B6,'[1]კონსოლიდირებული ტენდერი'!N:N,"სახელმწიფო ბიუჯეტი",'[1]კონსოლიდირებული ტენდერი'!O:O,"3503030702"),0)</f>
        <v>0</v>
      </c>
      <c r="O6" s="25">
        <f>IF(G6="ელ. ტენდერი",SUMIFS('[1]ელ. ტენდერი'!N:N,'[1]ელ. ტენდერი'!G:G,B6,'[1]ელ. ტენდერი'!Q:Q,"სახელმწიფო ბიუჯეტი",'[1]ელ. ტენდერი'!R:R,"350106"),0)</f>
        <v>0</v>
      </c>
      <c r="P6" s="25">
        <f>IF(G6="ელ. ტენდერი",SUMIFS('[1]ელ. ტენდერი'!N:N,'[1]ელ. ტენდერი'!G:G,'30.05.2018'!B6,'[1]ელ. ტენდერი'!Q:Q,"სახელმწიფო ბიუჯეტი",'[1]ელ. ტენდერი'!R:R,"3503030702"),0)</f>
        <v>0</v>
      </c>
      <c r="Q6" s="26">
        <f>F6-SUM(K6:P6)</f>
        <v>3900</v>
      </c>
    </row>
    <row r="7" spans="1:18" x14ac:dyDescent="0.25">
      <c r="A7" s="17">
        <v>2</v>
      </c>
      <c r="B7" s="81" t="s">
        <v>28</v>
      </c>
      <c r="C7" s="18" t="s">
        <v>25</v>
      </c>
      <c r="D7" s="19">
        <v>3503030702</v>
      </c>
      <c r="E7" s="20" t="s">
        <v>29</v>
      </c>
      <c r="F7" s="21">
        <f>1120000+535000-20000</f>
        <v>1635000</v>
      </c>
      <c r="G7" s="22" t="s">
        <v>30</v>
      </c>
      <c r="H7" s="23">
        <v>43101</v>
      </c>
      <c r="I7" s="23">
        <v>43465</v>
      </c>
      <c r="J7" s="27"/>
      <c r="K7" s="25">
        <f>IF(G7="გამ. შესყიდვა",SUMIFS('[1]გამარტივებული შესყიდვა'!L:L,'[1]გამარტივებული შესყიდვა'!K:K,B7,'[1]გამარტივებული შესყიდვა'!N:N,"სახელმწიფო ბიუჯეტი",'[1]გამარტივებული შესყიდვა'!O:O,"350106"),0)</f>
        <v>0</v>
      </c>
      <c r="L7" s="25">
        <f>IF(G7="გამ. შესყიდვა",SUMIFS('[1]გამარტივებული შესყიდვა'!L:L,'[1]გამარტივებული შესყიდვა'!K:K,B7,'[1]გამარტივებული შესყიდვა'!N:N,"სახელმწიფო ბიუჯეტი",'[1]გამარტივებული შესყიდვა'!O:O,"3503030702"),0)</f>
        <v>0</v>
      </c>
      <c r="M7" s="25"/>
      <c r="N7" s="25">
        <f>IF(G7="კონს. ტენდერი",SUMIFS('[1]კონსოლიდირებული ტენდერი'!L:L,'[1]კონსოლიდირებული ტენდერი'!E:E,B7,'[1]კონსოლიდირებული ტენდერი'!N:N,"სახელმწიფო ბიუჯეტი",'[1]კონსოლიდირებული ტენდერი'!O:O,"3503030702"),0)</f>
        <v>1628200</v>
      </c>
      <c r="O7" s="25">
        <f>IF(G7="ელ. ტენდერი",SUMIFS('[1]ელ. ტენდერი'!N:N,'[1]ელ. ტენდერი'!G:G,B7,'[1]ელ. ტენდერი'!Q:Q,"სახელმწიფო ბიუჯეტი",'[1]ელ. ტენდერი'!R:R,"350106"),0)</f>
        <v>0</v>
      </c>
      <c r="P7" s="25">
        <f>IF(G7="ელ. ტენდერი",SUMIFS('[1]ელ. ტენდერი'!N:N,'[1]ელ. ტენდერი'!G:G,'30.05.2018'!B7,'[1]ელ. ტენდერი'!Q:Q,"სახელმწიფო ბიუჯეტი",'[1]ელ. ტენდერი'!R:R,"3503030702"),0)</f>
        <v>0</v>
      </c>
      <c r="Q7" s="26">
        <f t="shared" ref="Q7:Q70" si="1">F7-SUM(K7:P7)</f>
        <v>6800</v>
      </c>
    </row>
    <row r="8" spans="1:18" x14ac:dyDescent="0.25">
      <c r="A8" s="17">
        <v>3</v>
      </c>
      <c r="B8" s="81" t="s">
        <v>28</v>
      </c>
      <c r="C8" s="18" t="s">
        <v>25</v>
      </c>
      <c r="D8" s="19">
        <v>350106</v>
      </c>
      <c r="E8" s="20" t="s">
        <v>29</v>
      </c>
      <c r="F8" s="21">
        <f>45000+35000+5000</f>
        <v>85000</v>
      </c>
      <c r="G8" s="22" t="s">
        <v>30</v>
      </c>
      <c r="H8" s="23">
        <v>43101</v>
      </c>
      <c r="I8" s="23">
        <v>43465</v>
      </c>
      <c r="J8" s="28"/>
      <c r="K8" s="25">
        <f>IF(G8="გამ. შესყიდვა",SUMIFS('[1]გამარტივებული შესყიდვა'!L:L,'[1]გამარტივებული შესყიდვა'!K:K,B8,'[1]გამარტივებული შესყიდვა'!N:N,"სახელმწიფო ბიუჯეტი",'[1]გამარტივებული შესყიდვა'!O:O,"350106"),0)</f>
        <v>0</v>
      </c>
      <c r="L8" s="25">
        <f>IF(G8="გამ. შესყიდვა",SUMIFS('[1]გამარტივებული შესყიდვა'!L:L,'[1]გამარტივებული შესყიდვა'!K:K,B8,'[1]გამარტივებული შესყიდვა'!N:N,"სახელმწიფო ბიუჯეტი",'[1]გამარტივებული შესყიდვა'!O:O,"3503030702"),0)</f>
        <v>0</v>
      </c>
      <c r="M8" s="25">
        <f>IF(G8="კონს. ტენდერი",SUMIFS('[1]კონსოლიდირებული ტენდერი'!L:L,'[1]კონსოლიდირებული ტენდერი'!E:E,B8,'[1]კონსოლიდირებული ტენდერი'!N:N,"სახელმწიფო ბიუჯეტი",'[1]კონსოლიდირებული ტენდერი'!O:O,"350106"),0)</f>
        <v>80080</v>
      </c>
      <c r="N8" s="25"/>
      <c r="O8" s="25">
        <f>IF(G8="ელ. ტენდერი",SUMIFS('[1]ელ. ტენდერი'!N:N,'[1]ელ. ტენდერი'!G:G,B8,'[1]ელ. ტენდერი'!Q:Q,"სახელმწიფო ბიუჯეტი",'[1]ელ. ტენდერი'!R:R,"350106"),0)</f>
        <v>0</v>
      </c>
      <c r="P8" s="25">
        <f>IF(G8="ელ. ტენდერი",SUMIFS('[1]ელ. ტენდერი'!N:N,'[1]ელ. ტენდერი'!G:G,'30.05.2018'!B8,'[1]ელ. ტენდერი'!Q:Q,"სახელმწიფო ბიუჯეტი",'[1]ელ. ტენდერი'!R:R,"3503030702"),0)</f>
        <v>0</v>
      </c>
      <c r="Q8" s="26">
        <f t="shared" si="1"/>
        <v>4920</v>
      </c>
    </row>
    <row r="9" spans="1:18" x14ac:dyDescent="0.25">
      <c r="A9" s="17">
        <v>4</v>
      </c>
      <c r="B9" s="81" t="s">
        <v>28</v>
      </c>
      <c r="C9" s="18" t="s">
        <v>25</v>
      </c>
      <c r="D9" s="19">
        <v>3503030702</v>
      </c>
      <c r="E9" s="20" t="s">
        <v>29</v>
      </c>
      <c r="F9" s="29">
        <f>1500000-600000+15000</f>
        <v>915000</v>
      </c>
      <c r="G9" s="22" t="s">
        <v>27</v>
      </c>
      <c r="H9" s="23">
        <v>43101</v>
      </c>
      <c r="I9" s="23">
        <v>43465</v>
      </c>
      <c r="J9" s="28" t="s">
        <v>31</v>
      </c>
      <c r="K9" s="25">
        <f>IF(G9="გამ. შესყიდვა",SUMIFS('[1]გამარტივებული შესყიდვა'!L:L,'[1]გამარტივებული შესყიდვა'!K:K,B9,'[1]გამარტივებული შესყიდვა'!N:N,"სახელმწიფო ბიუჯეტი",'[1]გამარტივებული შესყიდვა'!O:O,"350106"),0)</f>
        <v>0</v>
      </c>
      <c r="L9" s="25">
        <f>IF(G9="გამ. შესყიდვა",SUMIFS('[1]გამარტივებული შესყიდვა'!L:L,'[1]გამარტივებული შესყიდვა'!K:K,B9,'[1]გამარტივებული შესყიდვა'!N:N,"სახელმწიფო ბიუჯეტი",'[1]გამარტივებული შესყიდვა'!O:O,"3503030702"),0)</f>
        <v>594058</v>
      </c>
      <c r="M9" s="25">
        <f>IF(G9="კონს. ტენდერი",SUMIFS('[1]კონსოლიდირებული ტენდერი'!L:L,'[1]კონსოლიდირებული ტენდერი'!E:E,B9,'[1]კონსოლიდირებული ტენდერი'!N:N,"სახელმწიფო ბიუჯეტი",'[1]კონსოლიდირებული ტენდერი'!O:O,"350106"),0)</f>
        <v>0</v>
      </c>
      <c r="N9" s="25">
        <f>IF(G9="კონს. ტენდერი",SUMIFS('[1]კონსოლიდირებული ტენდერი'!L:L,'[1]კონსოლიდირებული ტენდერი'!E:E,B9,'[1]კონსოლიდირებული ტენდერი'!N:N,"სახელმწიფო ბიუჯეტი",'[1]კონსოლიდირებული ტენდერი'!O:O,"3503030702"),0)</f>
        <v>0</v>
      </c>
      <c r="O9" s="25">
        <f>IF(G9="ელ. ტენდერი",SUMIFS('[1]ელ. ტენდერი'!N:N,'[1]ელ. ტენდერი'!G:G,B9,'[1]ელ. ტენდერი'!Q:Q,"სახელმწიფო ბიუჯეტი",'[1]ელ. ტენდერი'!R:R,"350106"),0)</f>
        <v>0</v>
      </c>
      <c r="P9" s="25">
        <f>IF(G9="ელ. ტენდერი",SUMIFS('[1]ელ. ტენდერი'!N:N,'[1]ელ. ტენდერი'!G:G,'30.05.2018'!B9,'[1]ელ. ტენდერი'!Q:Q,"სახელმწიფო ბიუჯეტი",'[1]ელ. ტენდერი'!R:R,"3503030702"),0)</f>
        <v>0</v>
      </c>
      <c r="Q9" s="26">
        <f t="shared" si="1"/>
        <v>320942</v>
      </c>
      <c r="R9" s="30"/>
    </row>
    <row r="10" spans="1:18" x14ac:dyDescent="0.25">
      <c r="A10" s="17">
        <v>5</v>
      </c>
      <c r="B10" s="81" t="s">
        <v>32</v>
      </c>
      <c r="C10" s="18" t="s">
        <v>25</v>
      </c>
      <c r="D10" s="19">
        <v>3503030702</v>
      </c>
      <c r="E10" s="20" t="s">
        <v>33</v>
      </c>
      <c r="F10" s="21">
        <v>8000</v>
      </c>
      <c r="G10" s="22" t="s">
        <v>34</v>
      </c>
      <c r="H10" s="23">
        <v>43101</v>
      </c>
      <c r="I10" s="23">
        <v>43465</v>
      </c>
      <c r="J10" s="28"/>
      <c r="K10" s="25">
        <f>IF(G10="გამ. შესყიდვა",SUMIFS('[1]გამარტივებული შესყიდვა'!L:L,'[1]გამარტივებული შესყიდვა'!K:K,B10,'[1]გამარტივებული შესყიდვა'!N:N,"სახელმწიფო ბიუჯეტი",'[1]გამარტივებული შესყიდვა'!O:O,"350106"),0)</f>
        <v>0</v>
      </c>
      <c r="L10" s="25">
        <f>IF(G10="გამ. შესყიდვა",SUMIFS('[1]გამარტივებული შესყიდვა'!L:L,'[1]გამარტივებული შესყიდვა'!K:K,B10,'[1]გამარტივებული შესყიდვა'!N:N,"სახელმწიფო ბიუჯეტი",'[1]გამარტივებული შესყიდვა'!O:O,"3503030702"),0)</f>
        <v>0</v>
      </c>
      <c r="M10" s="25">
        <f>IF(G10="კონს. ტენდერი",SUMIFS('[1]კონსოლიდირებული ტენდერი'!L:L,'[1]კონსოლიდირებული ტენდერი'!E:E,B10,'[1]კონსოლიდირებული ტენდერი'!N:N,"სახელმწიფო ბიუჯეტი",'[1]კონსოლიდირებული ტენდერი'!O:O,"350106"),0)</f>
        <v>0</v>
      </c>
      <c r="N10" s="25">
        <f>IF(G10="კონს. ტენდერი",SUMIFS('[1]კონსოლიდირებული ტენდერი'!L:L,'[1]კონსოლიდირებული ტენდერი'!E:E,B10,'[1]კონსოლიდირებული ტენდერი'!N:N,"სახელმწიფო ბიუჯეტი",'[1]კონსოლიდირებული ტენდერი'!O:O,"3503030702"),0)</f>
        <v>0</v>
      </c>
      <c r="O10" s="25">
        <f>IF(G10="ელ. ტენდერი",SUMIFS('[1]ელ. ტენდერი'!N:N,'[1]ელ. ტენდერი'!G:G,B10,'[1]ელ. ტენდერი'!Q:Q,"სახელმწიფო ბიუჯეტი",'[1]ელ. ტენდერი'!R:R,"350106"),0)</f>
        <v>0</v>
      </c>
      <c r="P10" s="25">
        <f>IF(G10="ელ. ტენდერი",SUMIFS('[1]ელ. ტენდერი'!N:N,'[1]ელ. ტენდერი'!G:G,'30.05.2018'!B10,'[1]ელ. ტენდერი'!Q:Q,"სახელმწიფო ბიუჯეტი",'[1]ელ. ტენდერი'!R:R,"3503030702"),0)</f>
        <v>0</v>
      </c>
      <c r="Q10" s="26">
        <f t="shared" si="1"/>
        <v>8000</v>
      </c>
    </row>
    <row r="11" spans="1:18" x14ac:dyDescent="0.25">
      <c r="A11" s="17">
        <v>6</v>
      </c>
      <c r="B11" s="81" t="s">
        <v>35</v>
      </c>
      <c r="C11" s="18" t="s">
        <v>25</v>
      </c>
      <c r="D11" s="19">
        <v>350106</v>
      </c>
      <c r="E11" s="20" t="s">
        <v>36</v>
      </c>
      <c r="F11" s="21">
        <v>1000</v>
      </c>
      <c r="G11" s="22" t="s">
        <v>27</v>
      </c>
      <c r="H11" s="23">
        <v>43231</v>
      </c>
      <c r="I11" s="23">
        <v>43465</v>
      </c>
      <c r="J11" s="28"/>
      <c r="K11" s="25">
        <f>IF(G11="გამ. შესყიდვა",SUMIFS('[1]გამარტივებული შესყიდვა'!L:L,'[1]გამარტივებული შესყიდვა'!K:K,B11,'[1]გამარტივებული შესყიდვა'!N:N,"სახელმწიფო ბიუჯეტი",'[1]გამარტივებული შესყიდვა'!O:O,"350106"),0)</f>
        <v>250</v>
      </c>
      <c r="L11" s="25">
        <f>IF(G11="გამ. შესყიდვა",SUMIFS('[1]გამარტივებული შესყიდვა'!L:L,'[1]გამარტივებული შესყიდვა'!K:K,B11,'[1]გამარტივებული შესყიდვა'!N:N,"სახელმწიფო ბიუჯეტი",'[1]გამარტივებული შესყიდვა'!O:O,"3503030702"),0)</f>
        <v>0</v>
      </c>
      <c r="M11" s="25">
        <f>IF(G11="კონს. ტენდერი",SUMIFS('[1]კონსოლიდირებული ტენდერი'!L:L,'[1]კონსოლიდირებული ტენდერი'!E:E,B11,'[1]კონსოლიდირებული ტენდერი'!N:N,"სახელმწიფო ბიუჯეტი",'[1]კონსოლიდირებული ტენდერი'!O:O,"350106"),0)</f>
        <v>0</v>
      </c>
      <c r="N11" s="25">
        <f>IF(G11="კონს. ტენდერი",SUMIFS('[1]კონსოლიდირებული ტენდერი'!L:L,'[1]კონსოლიდირებული ტენდერი'!E:E,B11,'[1]კონსოლიდირებული ტენდერი'!N:N,"სახელმწიფო ბიუჯეტი",'[1]კონსოლიდირებული ტენდერი'!O:O,"3503030702"),0)</f>
        <v>0</v>
      </c>
      <c r="O11" s="25">
        <f>IF(G11="ელ. ტენდერი",SUMIFS('[1]ელ. ტენდერი'!N:N,'[1]ელ. ტენდერი'!G:G,B11,'[1]ელ. ტენდერი'!Q:Q,"სახელმწიფო ბიუჯეტი",'[1]ელ. ტენდერი'!R:R,"350106"),0)</f>
        <v>0</v>
      </c>
      <c r="P11" s="25">
        <f>IF(G11="ელ. ტენდერი",SUMIFS('[1]ელ. ტენდერი'!N:N,'[1]ელ. ტენდერი'!G:G,'30.05.2018'!B11,'[1]ელ. ტენდერი'!Q:Q,"სახელმწიფო ბიუჯეტი",'[1]ელ. ტენდერი'!R:R,"3503030702"),0)</f>
        <v>0</v>
      </c>
      <c r="Q11" s="26">
        <f t="shared" si="1"/>
        <v>750</v>
      </c>
    </row>
    <row r="12" spans="1:18" x14ac:dyDescent="0.25">
      <c r="A12" s="17">
        <v>7</v>
      </c>
      <c r="B12" s="81" t="s">
        <v>37</v>
      </c>
      <c r="C12" s="18" t="s">
        <v>25</v>
      </c>
      <c r="D12" s="31">
        <v>350106</v>
      </c>
      <c r="E12" s="20" t="s">
        <v>38</v>
      </c>
      <c r="F12" s="21">
        <v>4990</v>
      </c>
      <c r="G12" s="22" t="s">
        <v>27</v>
      </c>
      <c r="H12" s="23">
        <v>43101</v>
      </c>
      <c r="I12" s="23">
        <v>43465</v>
      </c>
      <c r="J12" s="32"/>
      <c r="K12" s="25">
        <f>IF(G12="გამ. შესყიდვა",SUMIFS('[1]გამარტივებული შესყიდვა'!L:L,'[1]გამარტივებული შესყიდვა'!K:K,B12,'[1]გამარტივებული შესყიდვა'!N:N,"სახელმწიფო ბიუჯეტი",'[1]გამარტივებული შესყიდვა'!O:O,"350106"),0)</f>
        <v>140</v>
      </c>
      <c r="L12" s="25">
        <f>IF(G12="გამ. შესყიდვა",SUMIFS('[1]გამარტივებული შესყიდვა'!L:L,'[1]გამარტივებული შესყიდვა'!K:K,B12,'[1]გამარტივებული შესყიდვა'!N:N,"სახელმწიფო ბიუჯეტი",'[1]გამარტივებული შესყიდვა'!O:O,"3503030702"),0)</f>
        <v>0</v>
      </c>
      <c r="M12" s="25">
        <f>IF(G12="კონს. ტენდერი",SUMIFS('[1]კონსოლიდირებული ტენდერი'!L:L,'[1]კონსოლიდირებული ტენდერი'!E:E,B12,'[1]კონსოლიდირებული ტენდერი'!N:N,"სახელმწიფო ბიუჯეტი",'[1]კონსოლიდირებული ტენდერი'!O:O,"350106"),0)</f>
        <v>0</v>
      </c>
      <c r="N12" s="25">
        <f>IF(G12="კონს. ტენდერი",SUMIFS('[1]კონსოლიდირებული ტენდერი'!L:L,'[1]კონსოლიდირებული ტენდერი'!E:E,B12,'[1]კონსოლიდირებული ტენდერი'!N:N,"სახელმწიფო ბიუჯეტი",'[1]კონსოლიდირებული ტენდერი'!O:O,"3503030702"),0)</f>
        <v>0</v>
      </c>
      <c r="O12" s="25">
        <f>IF(G12="ელ. ტენდერი",SUMIFS('[1]ელ. ტენდერი'!N:N,'[1]ელ. ტენდერი'!G:G,B12,'[1]ელ. ტენდერი'!Q:Q,"სახელმწიფო ბიუჯეტი",'[1]ელ. ტენდერი'!R:R,"350106"),0)</f>
        <v>0</v>
      </c>
      <c r="P12" s="25">
        <f>IF(G12="ელ. ტენდერი",SUMIFS('[1]ელ. ტენდერი'!N:N,'[1]ელ. ტენდერი'!G:G,'30.05.2018'!B12,'[1]ელ. ტენდერი'!Q:Q,"სახელმწიფო ბიუჯეტი",'[1]ელ. ტენდერი'!R:R,"3503030702"),0)</f>
        <v>0</v>
      </c>
      <c r="Q12" s="26">
        <f t="shared" si="1"/>
        <v>4850</v>
      </c>
    </row>
    <row r="13" spans="1:18" x14ac:dyDescent="0.25">
      <c r="A13" s="17">
        <v>8</v>
      </c>
      <c r="B13" s="81" t="s">
        <v>37</v>
      </c>
      <c r="C13" s="18" t="s">
        <v>25</v>
      </c>
      <c r="D13" s="19">
        <v>3503030702</v>
      </c>
      <c r="E13" s="20" t="s">
        <v>38</v>
      </c>
      <c r="F13" s="21">
        <v>20000</v>
      </c>
      <c r="G13" s="22" t="s">
        <v>27</v>
      </c>
      <c r="H13" s="23">
        <v>43101</v>
      </c>
      <c r="I13" s="23">
        <v>43465</v>
      </c>
      <c r="J13" s="33" t="s">
        <v>39</v>
      </c>
      <c r="K13" s="25">
        <f>IF(G13="გამ. შესყიდვა",SUMIFS('[1]გამარტივებული შესყიდვა'!L:L,'[1]გამარტივებული შესყიდვა'!K:K,B13,'[1]გამარტივებული შესყიდვა'!N:N,"სახელმწიფო ბიუჯეტი",'[1]გამარტივებული შესყიდვა'!O:O,"350106"),0)</f>
        <v>140</v>
      </c>
      <c r="L13" s="25">
        <f>IF(G13="გამ. შესყიდვა",SUMIFS('[1]გამარტივებული შესყიდვა'!L:L,'[1]გამარტივებული შესყიდვა'!K:K,B13,'[1]გამარტივებული შესყიდვა'!N:N,"სახელმწიფო ბიუჯეტი",'[1]გამარტივებული შესყიდვა'!O:O,"3503030702"),0)</f>
        <v>0</v>
      </c>
      <c r="M13" s="25">
        <f>IF(G13="კონს. ტენდერი",SUMIFS('[1]კონსოლიდირებული ტენდერი'!L:L,'[1]კონსოლიდირებული ტენდერი'!E:E,B13,'[1]კონსოლიდირებული ტენდერი'!N:N,"სახელმწიფო ბიუჯეტი",'[1]კონსოლიდირებული ტენდერი'!O:O,"350106"),0)</f>
        <v>0</v>
      </c>
      <c r="N13" s="25">
        <f>IF(G13="კონს. ტენდერი",SUMIFS('[1]კონსოლიდირებული ტენდერი'!L:L,'[1]კონსოლიდირებული ტენდერი'!E:E,B13,'[1]კონსოლიდირებული ტენდერი'!N:N,"სახელმწიფო ბიუჯეტი",'[1]კონსოლიდირებული ტენდერი'!O:O,"3503030702"),0)</f>
        <v>0</v>
      </c>
      <c r="O13" s="25">
        <f>IF(G13="ელ. ტენდერი",SUMIFS('[1]ელ. ტენდერი'!N:N,'[1]ელ. ტენდერი'!G:G,B13,'[1]ელ. ტენდერი'!Q:Q,"სახელმწიფო ბიუჯეტი",'[1]ელ. ტენდერი'!R:R,"350106"),0)</f>
        <v>0</v>
      </c>
      <c r="P13" s="25">
        <f>IF(G13="ელ. ტენდერი",SUMIFS('[1]ელ. ტენდერი'!N:N,'[1]ელ. ტენდერი'!G:G,'30.05.2018'!B13,'[1]ელ. ტენდერი'!Q:Q,"სახელმწიფო ბიუჯეტი",'[1]ელ. ტენდერი'!R:R,"3503030702"),0)</f>
        <v>0</v>
      </c>
      <c r="Q13" s="26">
        <f t="shared" si="1"/>
        <v>19860</v>
      </c>
    </row>
    <row r="14" spans="1:18" x14ac:dyDescent="0.25">
      <c r="A14" s="17">
        <v>9</v>
      </c>
      <c r="B14" s="81" t="s">
        <v>40</v>
      </c>
      <c r="C14" s="18" t="s">
        <v>25</v>
      </c>
      <c r="D14" s="31">
        <v>350106</v>
      </c>
      <c r="E14" s="20" t="s">
        <v>41</v>
      </c>
      <c r="F14" s="21">
        <v>4990</v>
      </c>
      <c r="G14" s="22" t="s">
        <v>27</v>
      </c>
      <c r="H14" s="23">
        <v>43101</v>
      </c>
      <c r="I14" s="23">
        <v>43465</v>
      </c>
      <c r="J14" s="28"/>
      <c r="K14" s="25">
        <f>IF(G14="გამ. შესყიდვა",SUMIFS('[1]გამარტივებული შესყიდვა'!L:L,'[1]გამარტივებული შესყიდვა'!K:K,B14,'[1]გამარტივებული შესყიდვა'!N:N,"სახელმწიფო ბიუჯეტი",'[1]გამარტივებული შესყიდვა'!O:O,"350106"),0)</f>
        <v>1717.76</v>
      </c>
      <c r="L14" s="25">
        <f>IF(G14="გამ. შესყიდვა",SUMIFS('[1]გამარტივებული შესყიდვა'!L:L,'[1]გამარტივებული შესყიდვა'!K:K,B14,'[1]გამარტივებული შესყიდვა'!N:N,"სახელმწიფო ბიუჯეტი",'[1]გამარტივებული შესყიდვა'!O:O,"3503030702"),0)</f>
        <v>0</v>
      </c>
      <c r="M14" s="25">
        <f>IF(G14="კონს. ტენდერი",SUMIFS('[1]კონსოლიდირებული ტენდერი'!L:L,'[1]კონსოლიდირებული ტენდერი'!E:E,B14,'[1]კონსოლიდირებული ტენდერი'!N:N,"სახელმწიფო ბიუჯეტი",'[1]კონსოლიდირებული ტენდერი'!O:O,"350106"),0)</f>
        <v>0</v>
      </c>
      <c r="N14" s="25">
        <f>IF(G14="კონს. ტენდერი",SUMIFS('[1]კონსოლიდირებული ტენდერი'!L:L,'[1]კონსოლიდირებული ტენდერი'!E:E,B14,'[1]კონსოლიდირებული ტენდერი'!N:N,"სახელმწიფო ბიუჯეტი",'[1]კონსოლიდირებული ტენდერი'!O:O,"3503030702"),0)</f>
        <v>0</v>
      </c>
      <c r="O14" s="25">
        <f>IF(G14="ელ. ტენდერი",SUMIFS('[1]ელ. ტენდერი'!N:N,'[1]ელ. ტენდერი'!G:G,B14,'[1]ელ. ტენდერი'!Q:Q,"სახელმწიფო ბიუჯეტი",'[1]ელ. ტენდერი'!R:R,"350106"),0)</f>
        <v>0</v>
      </c>
      <c r="P14" s="25">
        <f>IF(G14="ელ. ტენდერი",SUMIFS('[1]ელ. ტენდერი'!N:N,'[1]ელ. ტენდერი'!G:G,'30.05.2018'!B14,'[1]ელ. ტენდერი'!Q:Q,"სახელმწიფო ბიუჯეტი",'[1]ელ. ტენდერი'!R:R,"3503030702"),0)</f>
        <v>0</v>
      </c>
      <c r="Q14" s="26">
        <f t="shared" si="1"/>
        <v>3272.24</v>
      </c>
    </row>
    <row r="15" spans="1:18" x14ac:dyDescent="0.25">
      <c r="A15" s="17">
        <v>10</v>
      </c>
      <c r="B15" s="81" t="s">
        <v>42</v>
      </c>
      <c r="C15" s="18" t="s">
        <v>25</v>
      </c>
      <c r="D15" s="19">
        <v>3503030702</v>
      </c>
      <c r="E15" s="20" t="s">
        <v>43</v>
      </c>
      <c r="F15" s="21">
        <v>2500</v>
      </c>
      <c r="G15" s="22" t="s">
        <v>27</v>
      </c>
      <c r="H15" s="23">
        <v>43101</v>
      </c>
      <c r="I15" s="23">
        <v>43465</v>
      </c>
      <c r="J15" s="28"/>
      <c r="K15" s="25">
        <f>IF(G15="გამ. შესყიდვა",SUMIFS('[1]გამარტივებული შესყიდვა'!L:L,'[1]გამარტივებული შესყიდვა'!K:K,B15,'[1]გამარტივებული შესყიდვა'!N:N,"სახელმწიფო ბიუჯეტი",'[1]გამარტივებული შესყიდვა'!O:O,"350106"),0)</f>
        <v>0</v>
      </c>
      <c r="L15" s="25">
        <f>IF(G15="გამ. შესყიდვა",SUMIFS('[1]გამარტივებული შესყიდვა'!L:L,'[1]გამარტივებული შესყიდვა'!K:K,B15,'[1]გამარტივებული შესყიდვა'!N:N,"სახელმწიფო ბიუჯეტი",'[1]გამარტივებული შესყიდვა'!O:O,"3503030702"),0)</f>
        <v>0</v>
      </c>
      <c r="M15" s="25">
        <f>IF(G15="კონს. ტენდერი",SUMIFS('[1]კონსოლიდირებული ტენდერი'!L:L,'[1]კონსოლიდირებული ტენდერი'!E:E,B15,'[1]კონსოლიდირებული ტენდერი'!N:N,"სახელმწიფო ბიუჯეტი",'[1]კონსოლიდირებული ტენდერი'!O:O,"350106"),0)</f>
        <v>0</v>
      </c>
      <c r="N15" s="25">
        <f>IF(G15="კონს. ტენდერი",SUMIFS('[1]კონსოლიდირებული ტენდერი'!L:L,'[1]კონსოლიდირებული ტენდერი'!E:E,B15,'[1]კონსოლიდირებული ტენდერი'!N:N,"სახელმწიფო ბიუჯეტი",'[1]კონსოლიდირებული ტენდერი'!O:O,"3503030702"),0)</f>
        <v>0</v>
      </c>
      <c r="O15" s="25">
        <f>IF(G15="ელ. ტენდერი",SUMIFS('[1]ელ. ტენდერი'!N:N,'[1]ელ. ტენდერი'!G:G,B15,'[1]ელ. ტენდერი'!Q:Q,"სახელმწიფო ბიუჯეტი",'[1]ელ. ტენდერი'!R:R,"350106"),0)</f>
        <v>0</v>
      </c>
      <c r="P15" s="25">
        <f>IF(G15="ელ. ტენდერი",SUMIFS('[1]ელ. ტენდერი'!N:N,'[1]ელ. ტენდერი'!G:G,'30.05.2018'!B15,'[1]ელ. ტენდერი'!Q:Q,"სახელმწიფო ბიუჯეტი",'[1]ელ. ტენდერი'!R:R,"3503030702"),0)</f>
        <v>0</v>
      </c>
      <c r="Q15" s="26">
        <f t="shared" si="1"/>
        <v>2500</v>
      </c>
    </row>
    <row r="16" spans="1:18" x14ac:dyDescent="0.25">
      <c r="A16" s="17">
        <v>11</v>
      </c>
      <c r="B16" s="81" t="s">
        <v>44</v>
      </c>
      <c r="C16" s="18" t="s">
        <v>25</v>
      </c>
      <c r="D16" s="31">
        <v>350106</v>
      </c>
      <c r="E16" s="20" t="s">
        <v>45</v>
      </c>
      <c r="F16" s="21">
        <f>473000-468010</f>
        <v>4990</v>
      </c>
      <c r="G16" s="22" t="s">
        <v>27</v>
      </c>
      <c r="H16" s="23">
        <v>43101</v>
      </c>
      <c r="I16" s="23">
        <v>43465</v>
      </c>
      <c r="J16" s="28"/>
      <c r="K16" s="25">
        <f>IF(G16="გამ. შესყიდვა",SUMIFS('[1]გამარტივებული შესყიდვა'!L:L,'[1]გამარტივებული შესყიდვა'!K:K,B16,'[1]გამარტივებული შესყიდვა'!N:N,"სახელმწიფო ბიუჯეტი",'[1]გამარტივებული შესყიდვა'!O:O,"350106"),0)</f>
        <v>0</v>
      </c>
      <c r="L16" s="25">
        <f>IF(G16="გამ. შესყიდვა",SUMIFS('[1]გამარტივებული შესყიდვა'!L:L,'[1]გამარტივებული შესყიდვა'!K:K,B16,'[1]გამარტივებული შესყიდვა'!N:N,"სახელმწიფო ბიუჯეტი",'[1]გამარტივებული შესყიდვა'!O:O,"3503030702"),0)</f>
        <v>120</v>
      </c>
      <c r="M16" s="25">
        <f>IF(G16="კონს. ტენდერი",SUMIFS('[1]კონსოლიდირებული ტენდერი'!L:L,'[1]კონსოლიდირებული ტენდერი'!E:E,B16,'[1]კონსოლიდირებული ტენდერი'!N:N,"სახელმწიფო ბიუჯეტი",'[1]კონსოლიდირებული ტენდერი'!O:O,"350106"),0)</f>
        <v>0</v>
      </c>
      <c r="N16" s="25">
        <f>IF(G16="კონს. ტენდერი",SUMIFS('[1]კონსოლიდირებული ტენდერი'!L:L,'[1]კონსოლიდირებული ტენდერი'!E:E,B16,'[1]კონსოლიდირებული ტენდერი'!N:N,"სახელმწიფო ბიუჯეტი",'[1]კონსოლიდირებული ტენდერი'!O:O,"3503030702"),0)</f>
        <v>0</v>
      </c>
      <c r="O16" s="25">
        <f>IF(G16="ელ. ტენდერი",SUMIFS('[1]ელ. ტენდერი'!N:N,'[1]ელ. ტენდერი'!G:G,B16,'[1]ელ. ტენდერი'!Q:Q,"სახელმწიფო ბიუჯეტი",'[1]ელ. ტენდერი'!R:R,"350106"),0)</f>
        <v>0</v>
      </c>
      <c r="P16" s="25">
        <f>IF(G16="ელ. ტენდერი",SUMIFS('[1]ელ. ტენდერი'!N:N,'[1]ელ. ტენდერი'!G:G,'30.05.2018'!B16,'[1]ელ. ტენდერი'!Q:Q,"სახელმწიფო ბიუჯეტი",'[1]ელ. ტენდერი'!R:R,"3503030702"),0)</f>
        <v>0</v>
      </c>
      <c r="Q16" s="26">
        <f t="shared" si="1"/>
        <v>4870</v>
      </c>
    </row>
    <row r="17" spans="1:17" x14ac:dyDescent="0.25">
      <c r="A17" s="17">
        <v>12</v>
      </c>
      <c r="B17" s="81" t="s">
        <v>46</v>
      </c>
      <c r="C17" s="18" t="s">
        <v>25</v>
      </c>
      <c r="D17" s="31">
        <v>350106</v>
      </c>
      <c r="E17" s="34" t="s">
        <v>47</v>
      </c>
      <c r="F17" s="21">
        <v>1000</v>
      </c>
      <c r="G17" s="22" t="s">
        <v>27</v>
      </c>
      <c r="H17" s="23">
        <v>43157</v>
      </c>
      <c r="I17" s="23">
        <v>43465</v>
      </c>
      <c r="J17" s="28"/>
      <c r="K17" s="25">
        <f>IF(G17="გამ. შესყიდვა",SUMIFS('[1]გამარტივებული შესყიდვა'!L:L,'[1]გამარტივებული შესყიდვა'!K:K,B17,'[1]გამარტივებული შესყიდვა'!N:N,"სახელმწიფო ბიუჯეტი",'[1]გამარტივებული შესყიდვა'!O:O,"350106"),0)</f>
        <v>0</v>
      </c>
      <c r="L17" s="25">
        <f>IF(G17="გამ. შესყიდვა",SUMIFS('[1]გამარტივებული შესყიდვა'!L:L,'[1]გამარტივებული შესყიდვა'!K:K,B17,'[1]გამარტივებული შესყიდვა'!N:N,"სახელმწიფო ბიუჯეტი",'[1]გამარტივებული შესყიდვა'!O:O,"3503030702"),0)</f>
        <v>0</v>
      </c>
      <c r="M17" s="25">
        <f>IF(G17="კონს. ტენდერი",SUMIFS('[1]კონსოლიდირებული ტენდერი'!L:L,'[1]კონსოლიდირებული ტენდერი'!E:E,B17,'[1]კონსოლიდირებული ტენდერი'!N:N,"სახელმწიფო ბიუჯეტი",'[1]კონსოლიდირებული ტენდერი'!O:O,"350106"),0)</f>
        <v>0</v>
      </c>
      <c r="N17" s="25">
        <f>IF(G17="კონს. ტენდერი",SUMIFS('[1]კონსოლიდირებული ტენდერი'!L:L,'[1]კონსოლიდირებული ტენდერი'!E:E,B17,'[1]კონსოლიდირებული ტენდერი'!N:N,"სახელმწიფო ბიუჯეტი",'[1]კონსოლიდირებული ტენდერი'!O:O,"3503030702"),0)</f>
        <v>0</v>
      </c>
      <c r="O17" s="25">
        <f>IF(G17="ელ. ტენდერი",SUMIFS('[1]ელ. ტენდერი'!N:N,'[1]ელ. ტენდერი'!G:G,B17,'[1]ელ. ტენდერი'!Q:Q,"სახელმწიფო ბიუჯეტი",'[1]ელ. ტენდერი'!R:R,"350106"),0)</f>
        <v>0</v>
      </c>
      <c r="P17" s="25">
        <f>IF(G17="ელ. ტენდერი",SUMIFS('[1]ელ. ტენდერი'!N:N,'[1]ელ. ტენდერი'!G:G,'30.05.2018'!B17,'[1]ელ. ტენდერი'!Q:Q,"სახელმწიფო ბიუჯეტი",'[1]ელ. ტენდერი'!R:R,"3503030702"),0)</f>
        <v>0</v>
      </c>
      <c r="Q17" s="26">
        <f t="shared" si="1"/>
        <v>1000</v>
      </c>
    </row>
    <row r="18" spans="1:17" x14ac:dyDescent="0.25">
      <c r="A18" s="17">
        <v>13</v>
      </c>
      <c r="B18" s="81" t="s">
        <v>48</v>
      </c>
      <c r="C18" s="18" t="s">
        <v>25</v>
      </c>
      <c r="D18" s="19">
        <v>3503030702</v>
      </c>
      <c r="E18" s="20" t="s">
        <v>49</v>
      </c>
      <c r="F18" s="21">
        <v>4990</v>
      </c>
      <c r="G18" s="22" t="s">
        <v>27</v>
      </c>
      <c r="H18" s="23">
        <v>43101</v>
      </c>
      <c r="I18" s="23">
        <v>43465</v>
      </c>
      <c r="J18" s="28"/>
      <c r="K18" s="25">
        <f>IF(G18="გამ. შესყიდვა",SUMIFS('[1]გამარტივებული შესყიდვა'!L:L,'[1]გამარტივებული შესყიდვა'!K:K,B18,'[1]გამარტივებული შესყიდვა'!N:N,"სახელმწიფო ბიუჯეტი",'[1]გამარტივებული შესყიდვა'!O:O,"350106"),0)</f>
        <v>0</v>
      </c>
      <c r="L18" s="25">
        <f>IF(G18="გამ. შესყიდვა",SUMIFS('[1]გამარტივებული შესყიდვა'!L:L,'[1]გამარტივებული შესყიდვა'!K:K,B18,'[1]გამარტივებული შესყიდვა'!N:N,"სახელმწიფო ბიუჯეტი",'[1]გამარტივებული შესყიდვა'!O:O,"3503030702"),0)</f>
        <v>0</v>
      </c>
      <c r="M18" s="25">
        <f>IF(G18="კონს. ტენდერი",SUMIFS('[1]კონსოლიდირებული ტენდერი'!L:L,'[1]კონსოლიდირებული ტენდერი'!E:E,B18,'[1]კონსოლიდირებული ტენდერი'!N:N,"სახელმწიფო ბიუჯეტი",'[1]კონსოლიდირებული ტენდერი'!O:O,"350106"),0)</f>
        <v>0</v>
      </c>
      <c r="N18" s="25">
        <f>IF(G18="კონს. ტენდერი",SUMIFS('[1]კონსოლიდირებული ტენდერი'!L:L,'[1]კონსოლიდირებული ტენდერი'!E:E,B18,'[1]კონსოლიდირებული ტენდერი'!N:N,"სახელმწიფო ბიუჯეტი",'[1]კონსოლიდირებული ტენდერი'!O:O,"3503030702"),0)</f>
        <v>0</v>
      </c>
      <c r="O18" s="25">
        <f>IF(G18="ელ. ტენდერი",SUMIFS('[1]ელ. ტენდერი'!N:N,'[1]ელ. ტენდერი'!G:G,B18,'[1]ელ. ტენდერი'!Q:Q,"სახელმწიფო ბიუჯეტი",'[1]ელ. ტენდერი'!R:R,"350106"),0)</f>
        <v>0</v>
      </c>
      <c r="P18" s="25">
        <f>IF(G18="ელ. ტენდერი",SUMIFS('[1]ელ. ტენდერი'!N:N,'[1]ელ. ტენდერი'!G:G,'30.05.2018'!B18,'[1]ელ. ტენდერი'!Q:Q,"სახელმწიფო ბიუჯეტი",'[1]ელ. ტენდერი'!R:R,"3503030702"),0)</f>
        <v>0</v>
      </c>
      <c r="Q18" s="26">
        <f t="shared" si="1"/>
        <v>4990</v>
      </c>
    </row>
    <row r="19" spans="1:17" ht="15.75" customHeight="1" x14ac:dyDescent="0.25">
      <c r="A19" s="17">
        <v>14</v>
      </c>
      <c r="B19" s="81" t="s">
        <v>50</v>
      </c>
      <c r="C19" s="18" t="s">
        <v>25</v>
      </c>
      <c r="D19" s="19">
        <v>3503030702</v>
      </c>
      <c r="E19" s="20" t="s">
        <v>51</v>
      </c>
      <c r="F19" s="21">
        <v>4990</v>
      </c>
      <c r="G19" s="22" t="s">
        <v>27</v>
      </c>
      <c r="H19" s="23">
        <v>43101</v>
      </c>
      <c r="I19" s="23">
        <v>43465</v>
      </c>
      <c r="J19" s="28"/>
      <c r="K19" s="25">
        <f>IF(G19="გამ. შესყიდვა",SUMIFS('[1]გამარტივებული შესყიდვა'!L:L,'[1]გამარტივებული შესყიდვა'!K:K,B19,'[1]გამარტივებული შესყიდვა'!N:N,"სახელმწიფო ბიუჯეტი",'[1]გამარტივებული შესყიდვა'!O:O,"350106"),0)</f>
        <v>0</v>
      </c>
      <c r="L19" s="25">
        <f>IF(G19="გამ. შესყიდვა",SUMIFS('[1]გამარტივებული შესყიდვა'!L:L,'[1]გამარტივებული შესყიდვა'!K:K,B19,'[1]გამარტივებული შესყიდვა'!N:N,"სახელმწიფო ბიუჯეტი",'[1]გამარტივებული შესყიდვა'!O:O,"3503030702"),0)</f>
        <v>0</v>
      </c>
      <c r="M19" s="25">
        <f>IF(G19="კონს. ტენდერი",SUMIFS('[1]კონსოლიდირებული ტენდერი'!L:L,'[1]კონსოლიდირებული ტენდერი'!E:E,B19,'[1]კონსოლიდირებული ტენდერი'!N:N,"სახელმწიფო ბიუჯეტი",'[1]კონსოლიდირებული ტენდერი'!O:O,"350106"),0)</f>
        <v>0</v>
      </c>
      <c r="N19" s="25">
        <f>IF(G19="კონს. ტენდერი",SUMIFS('[1]კონსოლიდირებული ტენდერი'!L:L,'[1]კონსოლიდირებული ტენდერი'!E:E,B19,'[1]კონსოლიდირებული ტენდერი'!N:N,"სახელმწიფო ბიუჯეტი",'[1]კონსოლიდირებული ტენდერი'!O:O,"3503030702"),0)</f>
        <v>0</v>
      </c>
      <c r="O19" s="25">
        <f>IF(G19="ელ. ტენდერი",SUMIFS('[1]ელ. ტენდერი'!N:N,'[1]ელ. ტენდერი'!G:G,B19,'[1]ელ. ტენდერი'!Q:Q,"სახელმწიფო ბიუჯეტი",'[1]ელ. ტენდერი'!R:R,"350106"),0)</f>
        <v>0</v>
      </c>
      <c r="P19" s="25">
        <f>IF(G19="ელ. ტენდერი",SUMIFS('[1]ელ. ტენდერი'!N:N,'[1]ელ. ტენდერი'!G:G,'30.05.2018'!B19,'[1]ელ. ტენდერი'!Q:Q,"სახელმწიფო ბიუჯეტი",'[1]ელ. ტენდერი'!R:R,"3503030702"),0)</f>
        <v>0</v>
      </c>
      <c r="Q19" s="26">
        <f t="shared" si="1"/>
        <v>4990</v>
      </c>
    </row>
    <row r="20" spans="1:17" x14ac:dyDescent="0.25">
      <c r="A20" s="17">
        <v>15</v>
      </c>
      <c r="B20" s="81" t="s">
        <v>52</v>
      </c>
      <c r="C20" s="18" t="s">
        <v>25</v>
      </c>
      <c r="D20" s="19">
        <v>3503030702</v>
      </c>
      <c r="E20" s="20" t="s">
        <v>53</v>
      </c>
      <c r="F20" s="21">
        <v>70000</v>
      </c>
      <c r="G20" s="22" t="s">
        <v>34</v>
      </c>
      <c r="H20" s="23">
        <v>43101</v>
      </c>
      <c r="I20" s="23">
        <v>43465</v>
      </c>
      <c r="J20" s="28"/>
      <c r="K20" s="25">
        <f>IF(G20="გამ. შესყიდვა",SUMIFS('[1]გამარტივებული შესყიდვა'!L:L,'[1]გამარტივებული შესყიდვა'!K:K,B20,'[1]გამარტივებული შესყიდვა'!N:N,"სახელმწიფო ბიუჯეტი",'[1]გამარტივებული შესყიდვა'!O:O,"350106"),0)</f>
        <v>0</v>
      </c>
      <c r="L20" s="25">
        <f>IF(G20="გამ. შესყიდვა",SUMIFS('[1]გამარტივებული შესყიდვა'!L:L,'[1]გამარტივებული შესყიდვა'!K:K,B20,'[1]გამარტივებული შესყიდვა'!N:N,"სახელმწიფო ბიუჯეტი",'[1]გამარტივებული შესყიდვა'!O:O,"3503030702"),0)</f>
        <v>0</v>
      </c>
      <c r="M20" s="25">
        <f>IF(G20="კონს. ტენდერი",SUMIFS('[1]კონსოლიდირებული ტენდერი'!L:L,'[1]კონსოლიდირებული ტენდერი'!E:E,B20,'[1]კონსოლიდირებული ტენდერი'!N:N,"სახელმწიფო ბიუჯეტი",'[1]კონსოლიდირებული ტენდერი'!O:O,"350106"),0)</f>
        <v>0</v>
      </c>
      <c r="N20" s="25">
        <f>IF(G20="კონს. ტენდერი",SUMIFS('[1]კონსოლიდირებული ტენდერი'!L:L,'[1]კონსოლიდირებული ტენდერი'!E:E,B20,'[1]კონსოლიდირებული ტენდერი'!N:N,"სახელმწიფო ბიუჯეტი",'[1]კონსოლიდირებული ტენდერი'!O:O,"3503030702"),0)</f>
        <v>0</v>
      </c>
      <c r="O20" s="25">
        <f>IF(G20="ელ. ტენდერი",SUMIFS('[1]ელ. ტენდერი'!N:N,'[1]ელ. ტენდერი'!G:G,B20,'[1]ელ. ტენდერი'!Q:Q,"სახელმწიფო ბიუჯეტი",'[1]ელ. ტენდერი'!R:R,"350106"),0)</f>
        <v>0</v>
      </c>
      <c r="P20" s="25">
        <f>IF(G20="ელ. ტენდერი",SUMIFS('[1]ელ. ტენდერი'!N:N,'[1]ელ. ტენდერი'!G:G,'30.05.2018'!B20,'[1]ელ. ტენდერი'!Q:Q,"სახელმწიფო ბიუჯეტი",'[1]ელ. ტენდერი'!R:R,"3503030702"),0)</f>
        <v>0</v>
      </c>
      <c r="Q20" s="26">
        <f t="shared" si="1"/>
        <v>70000</v>
      </c>
    </row>
    <row r="21" spans="1:17" x14ac:dyDescent="0.25">
      <c r="A21" s="17">
        <v>16</v>
      </c>
      <c r="B21" s="81" t="s">
        <v>54</v>
      </c>
      <c r="C21" s="18" t="s">
        <v>25</v>
      </c>
      <c r="D21" s="19">
        <v>3503030702</v>
      </c>
      <c r="E21" s="20" t="s">
        <v>55</v>
      </c>
      <c r="F21" s="21">
        <v>1000</v>
      </c>
      <c r="G21" s="22" t="s">
        <v>27</v>
      </c>
      <c r="H21" s="23">
        <v>43101</v>
      </c>
      <c r="I21" s="23">
        <v>43465</v>
      </c>
      <c r="J21" s="28"/>
      <c r="K21" s="25">
        <f>IF(G21="გამ. შესყიდვა",SUMIFS('[1]გამარტივებული შესყიდვა'!L:L,'[1]გამარტივებული შესყიდვა'!K:K,B21,'[1]გამარტივებული შესყიდვა'!N:N,"სახელმწიფო ბიუჯეტი",'[1]გამარტივებული შესყიდვა'!O:O,"350106"),0)</f>
        <v>0</v>
      </c>
      <c r="L21" s="25">
        <f>IF(G21="გამ. შესყიდვა",SUMIFS('[1]გამარტივებული შესყიდვა'!L:L,'[1]გამარტივებული შესყიდვა'!K:K,B21,'[1]გამარტივებული შესყიდვა'!N:N,"სახელმწიფო ბიუჯეტი",'[1]გამარტივებული შესყიდვა'!O:O,"3503030702"),0)</f>
        <v>0</v>
      </c>
      <c r="M21" s="25">
        <f>IF(G21="კონს. ტენდერი",SUMIFS('[1]კონსოლიდირებული ტენდერი'!L:L,'[1]კონსოლიდირებული ტენდერი'!E:E,B21,'[1]კონსოლიდირებული ტენდერი'!N:N,"სახელმწიფო ბიუჯეტი",'[1]კონსოლიდირებული ტენდერი'!O:O,"350106"),0)</f>
        <v>0</v>
      </c>
      <c r="N21" s="25">
        <f>IF(G21="კონს. ტენდერი",SUMIFS('[1]კონსოლიდირებული ტენდერი'!L:L,'[1]კონსოლიდირებული ტენდერი'!E:E,B21,'[1]კონსოლიდირებული ტენდერი'!N:N,"სახელმწიფო ბიუჯეტი",'[1]კონსოლიდირებული ტენდერი'!O:O,"3503030702"),0)</f>
        <v>0</v>
      </c>
      <c r="O21" s="25">
        <f>IF(G21="ელ. ტენდერი",SUMIFS('[1]ელ. ტენდერი'!N:N,'[1]ელ. ტენდერი'!G:G,B21,'[1]ელ. ტენდერი'!Q:Q,"სახელმწიფო ბიუჯეტი",'[1]ელ. ტენდერი'!R:R,"350106"),0)</f>
        <v>0</v>
      </c>
      <c r="P21" s="25">
        <f>IF(G21="ელ. ტენდერი",SUMIFS('[1]ელ. ტენდერი'!N:N,'[1]ელ. ტენდერი'!G:G,'30.05.2018'!B21,'[1]ელ. ტენდერი'!Q:Q,"სახელმწიფო ბიუჯეტი",'[1]ელ. ტენდერი'!R:R,"3503030702"),0)</f>
        <v>0</v>
      </c>
      <c r="Q21" s="26">
        <f t="shared" si="1"/>
        <v>1000</v>
      </c>
    </row>
    <row r="22" spans="1:17" x14ac:dyDescent="0.25">
      <c r="A22" s="17">
        <v>17</v>
      </c>
      <c r="B22" s="81" t="s">
        <v>56</v>
      </c>
      <c r="C22" s="18" t="s">
        <v>25</v>
      </c>
      <c r="D22" s="19">
        <v>3503030702</v>
      </c>
      <c r="E22" s="20" t="s">
        <v>57</v>
      </c>
      <c r="F22" s="21">
        <v>4990</v>
      </c>
      <c r="G22" s="22" t="s">
        <v>27</v>
      </c>
      <c r="H22" s="23">
        <v>43101</v>
      </c>
      <c r="I22" s="23">
        <v>43465</v>
      </c>
      <c r="J22" s="28"/>
      <c r="K22" s="25">
        <f>IF(G22="გამ. შესყიდვა",SUMIFS('[1]გამარტივებული შესყიდვა'!L:L,'[1]გამარტივებული შესყიდვა'!K:K,B22,'[1]გამარტივებული შესყიდვა'!N:N,"სახელმწიფო ბიუჯეტი",'[1]გამარტივებული შესყიდვა'!O:O,"350106"),0)</f>
        <v>0</v>
      </c>
      <c r="L22" s="25">
        <f>IF(G22="გამ. შესყიდვა",SUMIFS('[1]გამარტივებული შესყიდვა'!L:L,'[1]გამარტივებული შესყიდვა'!K:K,B22,'[1]გამარტივებული შესყიდვა'!N:N,"სახელმწიფო ბიუჯეტი",'[1]გამარტივებული შესყიდვა'!O:O,"3503030702"),0)</f>
        <v>0</v>
      </c>
      <c r="M22" s="25">
        <f>IF(G22="კონს. ტენდერი",SUMIFS('[1]კონსოლიდირებული ტენდერი'!L:L,'[1]კონსოლიდირებული ტენდერი'!E:E,B22,'[1]კონსოლიდირებული ტენდერი'!N:N,"სახელმწიფო ბიუჯეტი",'[1]კონსოლიდირებული ტენდერი'!O:O,"350106"),0)</f>
        <v>0</v>
      </c>
      <c r="N22" s="25">
        <f>IF(G22="კონს. ტენდერი",SUMIFS('[1]კონსოლიდირებული ტენდერი'!L:L,'[1]კონსოლიდირებული ტენდერი'!E:E,B22,'[1]კონსოლიდირებული ტენდერი'!N:N,"სახელმწიფო ბიუჯეტი",'[1]კონსოლიდირებული ტენდერი'!O:O,"3503030702"),0)</f>
        <v>0</v>
      </c>
      <c r="O22" s="25">
        <f>IF(G22="ელ. ტენდერი",SUMIFS('[1]ელ. ტენდერი'!N:N,'[1]ელ. ტენდერი'!G:G,B22,'[1]ელ. ტენდერი'!Q:Q,"სახელმწიფო ბიუჯეტი",'[1]ელ. ტენდერი'!R:R,"350106"),0)</f>
        <v>0</v>
      </c>
      <c r="P22" s="25">
        <f>IF(G22="ელ. ტენდერი",SUMIFS('[1]ელ. ტენდერი'!N:N,'[1]ელ. ტენდერი'!G:G,'30.05.2018'!B22,'[1]ელ. ტენდერი'!Q:Q,"სახელმწიფო ბიუჯეტი",'[1]ელ. ტენდერი'!R:R,"3503030702"),0)</f>
        <v>0</v>
      </c>
      <c r="Q22" s="26">
        <f t="shared" si="1"/>
        <v>4990</v>
      </c>
    </row>
    <row r="23" spans="1:17" x14ac:dyDescent="0.25">
      <c r="A23" s="17">
        <v>18</v>
      </c>
      <c r="B23" s="81" t="s">
        <v>58</v>
      </c>
      <c r="C23" s="18" t="s">
        <v>25</v>
      </c>
      <c r="D23" s="19">
        <v>3503030702</v>
      </c>
      <c r="E23" s="20" t="s">
        <v>59</v>
      </c>
      <c r="F23" s="21">
        <f>40000-10000</f>
        <v>30000</v>
      </c>
      <c r="G23" s="22" t="s">
        <v>34</v>
      </c>
      <c r="H23" s="23">
        <v>43101</v>
      </c>
      <c r="I23" s="23">
        <v>43465</v>
      </c>
      <c r="J23" s="28"/>
      <c r="K23" s="25">
        <f>IF(G23="გამ. შესყიდვა",SUMIFS('[1]გამარტივებული შესყიდვა'!L:L,'[1]გამარტივებული შესყიდვა'!K:K,B23,'[1]გამარტივებული შესყიდვა'!N:N,"სახელმწიფო ბიუჯეტი",'[1]გამარტივებული შესყიდვა'!O:O,"350106"),0)</f>
        <v>0</v>
      </c>
      <c r="L23" s="25">
        <f>IF(G23="გამ. შესყიდვა",SUMIFS('[1]გამარტივებული შესყიდვა'!L:L,'[1]გამარტივებული შესყიდვა'!K:K,B23,'[1]გამარტივებული შესყიდვა'!N:N,"სახელმწიფო ბიუჯეტი",'[1]გამარტივებული შესყიდვა'!O:O,"3503030702"),0)</f>
        <v>0</v>
      </c>
      <c r="M23" s="25">
        <f>IF(G23="კონს. ტენდერი",SUMIFS('[1]კონსოლიდირებული ტენდერი'!L:L,'[1]კონსოლიდირებული ტენდერი'!E:E,B23,'[1]კონსოლიდირებული ტენდერი'!N:N,"სახელმწიფო ბიუჯეტი",'[1]კონსოლიდირებული ტენდერი'!O:O,"350106"),0)</f>
        <v>0</v>
      </c>
      <c r="N23" s="25">
        <f>IF(G23="კონს. ტენდერი",SUMIFS('[1]კონსოლიდირებული ტენდერი'!L:L,'[1]კონსოლიდირებული ტენდერი'!E:E,B23,'[1]კონსოლიდირებული ტენდერი'!N:N,"სახელმწიფო ბიუჯეტი",'[1]კონსოლიდირებული ტენდერი'!O:O,"3503030702"),0)</f>
        <v>0</v>
      </c>
      <c r="O23" s="25">
        <f>IF(G23="ელ. ტენდერი",SUMIFS('[1]ელ. ტენდერი'!N:N,'[1]ელ. ტენდერი'!G:G,B23,'[1]ელ. ტენდერი'!Q:Q,"სახელმწიფო ბიუჯეტი",'[1]ელ. ტენდერი'!R:R,"350106"),0)</f>
        <v>0</v>
      </c>
      <c r="P23" s="25">
        <f>IF(G23="ელ. ტენდერი",SUMIFS('[1]ელ. ტენდერი'!N:N,'[1]ელ. ტენდერი'!G:G,'30.05.2018'!B23,'[1]ელ. ტენდერი'!Q:Q,"სახელმწიფო ბიუჯეტი",'[1]ელ. ტენდერი'!R:R,"3503030702"),0)</f>
        <v>28675</v>
      </c>
      <c r="Q23" s="26">
        <f t="shared" si="1"/>
        <v>1325</v>
      </c>
    </row>
    <row r="24" spans="1:17" x14ac:dyDescent="0.25">
      <c r="A24" s="17">
        <v>19</v>
      </c>
      <c r="B24" s="81" t="s">
        <v>60</v>
      </c>
      <c r="C24" s="18" t="s">
        <v>25</v>
      </c>
      <c r="D24" s="19">
        <v>3503030702</v>
      </c>
      <c r="E24" s="20" t="s">
        <v>61</v>
      </c>
      <c r="F24" s="21">
        <v>2000</v>
      </c>
      <c r="G24" s="22" t="s">
        <v>27</v>
      </c>
      <c r="H24" s="23">
        <v>43101</v>
      </c>
      <c r="I24" s="23">
        <v>43465</v>
      </c>
      <c r="J24" s="28"/>
      <c r="K24" s="25">
        <f>IF(G24="გამ. შესყიდვა",SUMIFS('[1]გამარტივებული შესყიდვა'!L:L,'[1]გამარტივებული შესყიდვა'!K:K,B24,'[1]გამარტივებული შესყიდვა'!N:N,"სახელმწიფო ბიუჯეტი",'[1]გამარტივებული შესყიდვა'!O:O,"350106"),0)</f>
        <v>0</v>
      </c>
      <c r="L24" s="25">
        <f>IF(G24="გამ. შესყიდვა",SUMIFS('[1]გამარტივებული შესყიდვა'!L:L,'[1]გამარტივებული შესყიდვა'!K:K,B24,'[1]გამარტივებული შესყიდვა'!N:N,"სახელმწიფო ბიუჯეტი",'[1]გამარტივებული შესყიდვა'!O:O,"3503030702"),0)</f>
        <v>0</v>
      </c>
      <c r="M24" s="25">
        <f>IF(G24="კონს. ტენდერი",SUMIFS('[1]კონსოლიდირებული ტენდერი'!L:L,'[1]კონსოლიდირებული ტენდერი'!E:E,B24,'[1]კონსოლიდირებული ტენდერი'!N:N,"სახელმწიფო ბიუჯეტი",'[1]კონსოლიდირებული ტენდერი'!O:O,"350106"),0)</f>
        <v>0</v>
      </c>
      <c r="N24" s="25">
        <f>IF(G24="კონს. ტენდერი",SUMIFS('[1]კონსოლიდირებული ტენდერი'!L:L,'[1]კონსოლიდირებული ტენდერი'!E:E,B24,'[1]კონსოლიდირებული ტენდერი'!N:N,"სახელმწიფო ბიუჯეტი",'[1]კონსოლიდირებული ტენდერი'!O:O,"3503030702"),0)</f>
        <v>0</v>
      </c>
      <c r="O24" s="25">
        <f>IF(G24="ელ. ტენდერი",SUMIFS('[1]ელ. ტენდერი'!N:N,'[1]ელ. ტენდერი'!G:G,B24,'[1]ელ. ტენდერი'!Q:Q,"სახელმწიფო ბიუჯეტი",'[1]ელ. ტენდერი'!R:R,"350106"),0)</f>
        <v>0</v>
      </c>
      <c r="P24" s="25">
        <f>IF(G24="ელ. ტენდერი",SUMIFS('[1]ელ. ტენდერი'!N:N,'[1]ელ. ტენდერი'!G:G,'30.05.2018'!B24,'[1]ელ. ტენდერი'!Q:Q,"სახელმწიფო ბიუჯეტი",'[1]ელ. ტენდერი'!R:R,"3503030702"),0)</f>
        <v>0</v>
      </c>
      <c r="Q24" s="26">
        <f t="shared" si="1"/>
        <v>2000</v>
      </c>
    </row>
    <row r="25" spans="1:17" x14ac:dyDescent="0.25">
      <c r="A25" s="17">
        <v>20</v>
      </c>
      <c r="B25" s="81" t="s">
        <v>62</v>
      </c>
      <c r="C25" s="18" t="s">
        <v>25</v>
      </c>
      <c r="D25" s="19">
        <v>3503030702</v>
      </c>
      <c r="E25" s="20" t="s">
        <v>63</v>
      </c>
      <c r="F25" s="21">
        <v>2000</v>
      </c>
      <c r="G25" s="22" t="s">
        <v>27</v>
      </c>
      <c r="H25" s="23">
        <v>43101</v>
      </c>
      <c r="I25" s="23">
        <v>43465</v>
      </c>
      <c r="J25" s="28"/>
      <c r="K25" s="25">
        <f>IF(G25="გამ. შესყიდვა",SUMIFS('[1]გამარტივებული შესყიდვა'!L:L,'[1]გამარტივებული შესყიდვა'!K:K,B25,'[1]გამარტივებული შესყიდვა'!N:N,"სახელმწიფო ბიუჯეტი",'[1]გამარტივებული შესყიდვა'!O:O,"350106"),0)</f>
        <v>0</v>
      </c>
      <c r="L25" s="25">
        <f>IF(G25="გამ. შესყიდვა",SUMIFS('[1]გამარტივებული შესყიდვა'!L:L,'[1]გამარტივებული შესყიდვა'!K:K,B25,'[1]გამარტივებული შესყიდვა'!N:N,"სახელმწიფო ბიუჯეტი",'[1]გამარტივებული შესყიდვა'!O:O,"3503030702"),0)</f>
        <v>5</v>
      </c>
      <c r="M25" s="25">
        <f>IF(G25="კონს. ტენდერი",SUMIFS('[1]კონსოლიდირებული ტენდერი'!L:L,'[1]კონსოლიდირებული ტენდერი'!E:E,B25,'[1]კონსოლიდირებული ტენდერი'!N:N,"სახელმწიფო ბიუჯეტი",'[1]კონსოლიდირებული ტენდერი'!O:O,"350106"),0)</f>
        <v>0</v>
      </c>
      <c r="N25" s="25">
        <f>IF(G25="კონს. ტენდერი",SUMIFS('[1]კონსოლიდირებული ტენდერი'!L:L,'[1]კონსოლიდირებული ტენდერი'!E:E,B25,'[1]კონსოლიდირებული ტენდერი'!N:N,"სახელმწიფო ბიუჯეტი",'[1]კონსოლიდირებული ტენდერი'!O:O,"3503030702"),0)</f>
        <v>0</v>
      </c>
      <c r="O25" s="25">
        <f>IF(G25="ელ. ტენდერი",SUMIFS('[1]ელ. ტენდერი'!N:N,'[1]ელ. ტენდერი'!G:G,B25,'[1]ელ. ტენდერი'!Q:Q,"სახელმწიფო ბიუჯეტი",'[1]ელ. ტენდერი'!R:R,"350106"),0)</f>
        <v>0</v>
      </c>
      <c r="P25" s="25">
        <f>IF(G25="ელ. ტენდერი",SUMIFS('[1]ელ. ტენდერი'!N:N,'[1]ელ. ტენდერი'!G:G,'30.05.2018'!B25,'[1]ელ. ტენდერი'!Q:Q,"სახელმწიფო ბიუჯეტი",'[1]ელ. ტენდერი'!R:R,"3503030702"),0)</f>
        <v>0</v>
      </c>
      <c r="Q25" s="26">
        <f t="shared" si="1"/>
        <v>1995</v>
      </c>
    </row>
    <row r="26" spans="1:17" x14ac:dyDescent="0.25">
      <c r="A26" s="17">
        <v>21</v>
      </c>
      <c r="B26" s="81" t="s">
        <v>64</v>
      </c>
      <c r="C26" s="18" t="s">
        <v>25</v>
      </c>
      <c r="D26" s="31">
        <v>350106</v>
      </c>
      <c r="E26" s="20" t="s">
        <v>65</v>
      </c>
      <c r="F26" s="21">
        <v>30000</v>
      </c>
      <c r="G26" s="22" t="s">
        <v>34</v>
      </c>
      <c r="H26" s="23">
        <v>43101</v>
      </c>
      <c r="I26" s="23">
        <v>43465</v>
      </c>
      <c r="J26" s="28"/>
      <c r="K26" s="25">
        <f>IF(G26="გამ. შესყიდვა",SUMIFS('[1]გამარტივებული შესყიდვა'!L:L,'[1]გამარტივებული შესყიდვა'!K:K,B26,'[1]გამარტივებული შესყიდვა'!N:N,"სახელმწიფო ბიუჯეტი",'[1]გამარტივებული შესყიდვა'!O:O,"350106"),0)</f>
        <v>0</v>
      </c>
      <c r="L26" s="25">
        <f>IF(G26="გამ. შესყიდვა",SUMIFS('[1]გამარტივებული შესყიდვა'!L:L,'[1]გამარტივებული შესყიდვა'!K:K,B26,'[1]გამარტივებული შესყიდვა'!N:N,"სახელმწიფო ბიუჯეტი",'[1]გამარტივებული შესყიდვა'!O:O,"3503030702"),0)</f>
        <v>0</v>
      </c>
      <c r="M26" s="25">
        <f>IF(G26="კონს. ტენდერი",SUMIFS('[1]კონსოლიდირებული ტენდერი'!L:L,'[1]კონსოლიდირებული ტენდერი'!E:E,B26,'[1]კონსოლიდირებული ტენდერი'!N:N,"სახელმწიფო ბიუჯეტი",'[1]კონსოლიდირებული ტენდერი'!O:O,"350106"),0)</f>
        <v>0</v>
      </c>
      <c r="N26" s="25">
        <f>IF(G26="კონს. ტენდერი",SUMIFS('[1]კონსოლიდირებული ტენდერი'!L:L,'[1]კონსოლიდირებული ტენდერი'!E:E,B26,'[1]კონსოლიდირებული ტენდერი'!N:N,"სახელმწიფო ბიუჯეტი",'[1]კონსოლიდირებული ტენდერი'!O:O,"3503030702"),0)</f>
        <v>0</v>
      </c>
      <c r="O26" s="25">
        <f>IF(G26="ელ. ტენდერი",SUMIFS('[1]ელ. ტენდერი'!N:N,'[1]ელ. ტენდერი'!G:G,B26,'[1]ელ. ტენდერი'!Q:Q,"სახელმწიფო ბიუჯეტი",'[1]ელ. ტენდერი'!R:R,"350106"),0)</f>
        <v>0</v>
      </c>
      <c r="P26" s="25">
        <f>IF(G26="ელ. ტენდერი",SUMIFS('[1]ელ. ტენდერი'!N:N,'[1]ელ. ტენდერი'!G:G,'30.05.2018'!B26,'[1]ელ. ტენდერი'!Q:Q,"სახელმწიფო ბიუჯეტი",'[1]ელ. ტენდერი'!R:R,"3503030702"),0)</f>
        <v>9171.7900000000009</v>
      </c>
      <c r="Q26" s="26">
        <f t="shared" si="1"/>
        <v>20828.21</v>
      </c>
    </row>
    <row r="27" spans="1:17" x14ac:dyDescent="0.25">
      <c r="A27" s="17">
        <v>22</v>
      </c>
      <c r="B27" s="81" t="s">
        <v>64</v>
      </c>
      <c r="C27" s="18" t="s">
        <v>25</v>
      </c>
      <c r="D27" s="31">
        <v>350106</v>
      </c>
      <c r="E27" s="20" t="s">
        <v>65</v>
      </c>
      <c r="F27" s="21">
        <v>12000</v>
      </c>
      <c r="G27" s="22" t="s">
        <v>30</v>
      </c>
      <c r="H27" s="23">
        <v>43101</v>
      </c>
      <c r="I27" s="23">
        <v>43465</v>
      </c>
      <c r="J27" s="28"/>
      <c r="K27" s="25">
        <f>IF(G27="გამ. შესყიდვა",SUMIFS('[1]გამარტივებული შესყიდვა'!L:L,'[1]გამარტივებული შესყიდვა'!K:K,B27,'[1]გამარტივებული შესყიდვა'!N:N,"სახელმწიფო ბიუჯეტი",'[1]გამარტივებული შესყიდვა'!O:O,"350106"),0)</f>
        <v>0</v>
      </c>
      <c r="L27" s="25">
        <f>IF(G27="გამ. შესყიდვა",SUMIFS('[1]გამარტივებული შესყიდვა'!L:L,'[1]გამარტივებული შესყიდვა'!K:K,B27,'[1]გამარტივებული შესყიდვა'!N:N,"სახელმწიფო ბიუჯეტი",'[1]გამარტივებული შესყიდვა'!O:O,"3503030702"),0)</f>
        <v>0</v>
      </c>
      <c r="M27" s="25">
        <f>IF(G27="კონს. ტენდერი",SUMIFS('[1]კონსოლიდირებული ტენდერი'!L:L,'[1]კონსოლიდირებული ტენდერი'!E:E,B27,'[1]კონსოლიდირებული ტენდერი'!N:N,"სახელმწიფო ბიუჯეტი",'[1]კონსოლიდირებული ტენდერი'!O:O,"350106"),0)</f>
        <v>1810</v>
      </c>
      <c r="N27" s="25">
        <f>IF(G27="კონს. ტენდერი",SUMIFS('[1]კონსოლიდირებული ტენდერი'!L:L,'[1]კონსოლიდირებული ტენდერი'!E:E,B27,'[1]კონსოლიდირებული ტენდერი'!N:N,"სახელმწიფო ბიუჯეტი",'[1]კონსოლიდირებული ტენდერი'!O:O,"3503030702"),0)</f>
        <v>1825</v>
      </c>
      <c r="O27" s="25">
        <f>IF(G27="ელ. ტენდერი",SUMIFS('[1]ელ. ტენდერი'!N:N,'[1]ელ. ტენდერი'!G:G,B27,'[1]ელ. ტენდერი'!Q:Q,"სახელმწიფო ბიუჯეტი",'[1]ელ. ტენდერი'!R:R,"350106"),0)</f>
        <v>0</v>
      </c>
      <c r="P27" s="25">
        <f>IF(G27="ელ. ტენდერი",SUMIFS('[1]ელ. ტენდერი'!N:N,'[1]ელ. ტენდერი'!G:G,'30.05.2018'!B27,'[1]ელ. ტენდერი'!Q:Q,"სახელმწიფო ბიუჯეტი",'[1]ელ. ტენდერი'!R:R,"3503030702"),0)</f>
        <v>0</v>
      </c>
      <c r="Q27" s="26">
        <f t="shared" si="1"/>
        <v>8365</v>
      </c>
    </row>
    <row r="28" spans="1:17" x14ac:dyDescent="0.25">
      <c r="A28" s="17">
        <v>23</v>
      </c>
      <c r="B28" s="81" t="s">
        <v>66</v>
      </c>
      <c r="C28" s="35" t="s">
        <v>67</v>
      </c>
      <c r="D28" s="31">
        <v>350106</v>
      </c>
      <c r="E28" s="20" t="s">
        <v>68</v>
      </c>
      <c r="F28" s="21">
        <v>16000</v>
      </c>
      <c r="G28" s="22" t="s">
        <v>30</v>
      </c>
      <c r="H28" s="23">
        <v>43101</v>
      </c>
      <c r="I28" s="23">
        <v>43465</v>
      </c>
      <c r="J28" s="28"/>
      <c r="K28" s="25">
        <f>IF(G28="გამ. შესყიდვა",SUMIFS('[1]გამარტივებული შესყიდვა'!L:L,'[1]გამარტივებული შესყიდვა'!K:K,B28,'[1]გამარტივებული შესყიდვა'!N:N,"სახელმწიფო ბიუჯეტი",'[1]გამარტივებული შესყიდვა'!O:O,"350106"),0)</f>
        <v>0</v>
      </c>
      <c r="L28" s="25">
        <f>IF(G28="გამ. შესყიდვა",SUMIFS('[1]გამარტივებული შესყიდვა'!L:L,'[1]გამარტივებული შესყიდვა'!K:K,B28,'[1]გამარტივებული შესყიდვა'!N:N,"სახელმწიფო ბიუჯეტი",'[1]გამარტივებული შესყიდვა'!O:O,"3503030702"),0)</f>
        <v>0</v>
      </c>
      <c r="M28" s="25">
        <f>IF(G28="კონს. ტენდერი",SUMIFS('[1]კონსოლიდირებული ტენდერი'!L:L,'[1]კონსოლიდირებული ტენდერი'!E:E,B28,'[1]კონსოლიდირებული ტენდერი'!N:N,"სახელმწიფო ბიუჯეტი",'[1]კონსოლიდირებული ტენდერი'!O:O,"350106"),0)</f>
        <v>0</v>
      </c>
      <c r="N28" s="25">
        <f>IF(G28="კონს. ტენდერი",SUMIFS('[1]კონსოლიდირებული ტენდერი'!L:L,'[1]კონსოლიდირებული ტენდერი'!E:E,B28,'[1]კონსოლიდირებული ტენდერი'!N:N,"სახელმწიფო ბიუჯეტი",'[1]კონსოლიდირებული ტენდერი'!O:O,"3503030702"),0)</f>
        <v>0</v>
      </c>
      <c r="O28" s="25">
        <f>IF(G28="ელ. ტენდერი",SUMIFS('[1]ელ. ტენდერი'!N:N,'[1]ელ. ტენდერი'!G:G,B28,'[1]ელ. ტენდერი'!Q:Q,"სახელმწიფო ბიუჯეტი",'[1]ელ. ტენდერი'!R:R,"350106"),0)</f>
        <v>0</v>
      </c>
      <c r="P28" s="25">
        <f>IF(G28="ელ. ტენდერი",SUMIFS('[1]ელ. ტენდერი'!N:N,'[1]ელ. ტენდერი'!G:G,'30.05.2018'!B28,'[1]ელ. ტენდერი'!Q:Q,"სახელმწიფო ბიუჯეტი",'[1]ელ. ტენდერი'!R:R,"3503030702"),0)</f>
        <v>0</v>
      </c>
      <c r="Q28" s="26">
        <f t="shared" si="1"/>
        <v>16000</v>
      </c>
    </row>
    <row r="29" spans="1:17" x14ac:dyDescent="0.25">
      <c r="A29" s="17">
        <v>24</v>
      </c>
      <c r="B29" s="81" t="s">
        <v>66</v>
      </c>
      <c r="C29" s="18" t="s">
        <v>25</v>
      </c>
      <c r="D29" s="31">
        <v>350106</v>
      </c>
      <c r="E29" s="20" t="s">
        <v>68</v>
      </c>
      <c r="F29" s="21">
        <v>50000</v>
      </c>
      <c r="G29" s="22" t="s">
        <v>34</v>
      </c>
      <c r="H29" s="23">
        <v>43101</v>
      </c>
      <c r="I29" s="23">
        <v>43465</v>
      </c>
      <c r="J29" s="28"/>
      <c r="K29" s="25">
        <f>IF(G29="გამ. შესყიდვა",SUMIFS('[1]გამარტივებული შესყიდვა'!L:L,'[1]გამარტივებული შესყიდვა'!K:K,B29,'[1]გამარტივებული შესყიდვა'!N:N,"სახელმწიფო ბიუჯეტი",'[1]გამარტივებული შესყიდვა'!O:O,"350106"),0)</f>
        <v>0</v>
      </c>
      <c r="L29" s="25">
        <f>IF(G29="გამ. შესყიდვა",SUMIFS('[1]გამარტივებული შესყიდვა'!L:L,'[1]გამარტივებული შესყიდვა'!K:K,B29,'[1]გამარტივებული შესყიდვა'!N:N,"სახელმწიფო ბიუჯეტი",'[1]გამარტივებული შესყიდვა'!O:O,"3503030702"),0)</f>
        <v>0</v>
      </c>
      <c r="M29" s="25">
        <f>IF(G29="კონს. ტენდერი",SUMIFS('[1]კონსოლიდირებული ტენდერი'!L:L,'[1]კონსოლიდირებული ტენდერი'!E:E,B29,'[1]კონსოლიდირებული ტენდერი'!N:N,"სახელმწიფო ბიუჯეტი",'[1]კონსოლიდირებული ტენდერი'!O:O,"350106"),0)</f>
        <v>0</v>
      </c>
      <c r="N29" s="25">
        <f>IF(G29="კონს. ტენდერი",SUMIFS('[1]კონსოლიდირებული ტენდერი'!L:L,'[1]კონსოლიდირებული ტენდერი'!E:E,B29,'[1]კონსოლიდირებული ტენდერი'!N:N,"სახელმწიფო ბიუჯეტი",'[1]კონსოლიდირებული ტენდერი'!O:O,"3503030702"),0)</f>
        <v>0</v>
      </c>
      <c r="O29" s="25">
        <f>IF(G29="ელ. ტენდერი",SUMIFS('[1]ელ. ტენდერი'!N:N,'[1]ელ. ტენდერი'!G:G,B29,'[1]ელ. ტენდერი'!Q:Q,"სახელმწიფო ბიუჯეტი",'[1]ელ. ტენდერი'!R:R,"350106"),0)</f>
        <v>0</v>
      </c>
      <c r="P29" s="25">
        <f>IF(G29="ელ. ტენდერი",SUMIFS('[1]ელ. ტენდერი'!N:N,'[1]ელ. ტენდერი'!G:G,'30.05.2018'!B29,'[1]ელ. ტენდერი'!Q:Q,"სახელმწიფო ბიუჯეტი",'[1]ელ. ტენდერი'!R:R,"3503030702"),0)</f>
        <v>0</v>
      </c>
      <c r="Q29" s="26">
        <f t="shared" si="1"/>
        <v>50000</v>
      </c>
    </row>
    <row r="30" spans="1:17" x14ac:dyDescent="0.25">
      <c r="A30" s="17">
        <v>25</v>
      </c>
      <c r="B30" s="81" t="s">
        <v>69</v>
      </c>
      <c r="C30" s="35" t="s">
        <v>67</v>
      </c>
      <c r="D30" s="19">
        <v>3503030702</v>
      </c>
      <c r="E30" s="20" t="s">
        <v>70</v>
      </c>
      <c r="F30" s="21">
        <v>13110</v>
      </c>
      <c r="G30" s="22" t="s">
        <v>34</v>
      </c>
      <c r="H30" s="23">
        <v>43101</v>
      </c>
      <c r="I30" s="23">
        <v>43465</v>
      </c>
      <c r="J30" s="28"/>
      <c r="K30" s="25">
        <f>IF(G30="გამ. შესყიდვა",SUMIFS('[1]გამარტივებული შესყიდვა'!L:L,'[1]გამარტივებული შესყიდვა'!K:K,B30,'[1]გამარტივებული შესყიდვა'!N:N,"სახელმწიფო ბიუჯეტი",'[1]გამარტივებული შესყიდვა'!O:O,"350106"),0)</f>
        <v>0</v>
      </c>
      <c r="L30" s="25">
        <f>IF(G30="გამ. შესყიდვა",SUMIFS('[1]გამარტივებული შესყიდვა'!L:L,'[1]გამარტივებული შესყიდვა'!K:K,B30,'[1]გამარტივებული შესყიდვა'!N:N,"სახელმწიფო ბიუჯეტი",'[1]გამარტივებული შესყიდვა'!O:O,"3503030702"),0)</f>
        <v>0</v>
      </c>
      <c r="M30" s="25">
        <f>IF(G30="კონს. ტენდერი",SUMIFS('[1]კონსოლიდირებული ტენდერი'!L:L,'[1]კონსოლიდირებული ტენდერი'!E:E,B30,'[1]კონსოლიდირებული ტენდერი'!N:N,"სახელმწიფო ბიუჯეტი",'[1]კონსოლიდირებული ტენდერი'!O:O,"350106"),0)</f>
        <v>0</v>
      </c>
      <c r="N30" s="25">
        <f>IF(G30="კონს. ტენდერი",SUMIFS('[1]კონსოლიდირებული ტენდერი'!L:L,'[1]კონსოლიდირებული ტენდერი'!E:E,B30,'[1]კონსოლიდირებული ტენდერი'!N:N,"სახელმწიფო ბიუჯეტი",'[1]კონსოლიდირებული ტენდერი'!O:O,"3503030702"),0)</f>
        <v>0</v>
      </c>
      <c r="O30" s="25">
        <f>IF(G30="ელ. ტენდერი",SUMIFS('[1]ელ. ტენდერი'!N:N,'[1]ელ. ტენდერი'!G:G,B30,'[1]ელ. ტენდერი'!Q:Q,"სახელმწიფო ბიუჯეტი",'[1]ელ. ტენდერი'!R:R,"350106"),0)</f>
        <v>0</v>
      </c>
      <c r="P30" s="25">
        <f>IF(G30="ელ. ტენდერი",SUMIFS('[1]ელ. ტენდერი'!N:N,'[1]ელ. ტენდერი'!G:G,'30.05.2018'!B30,'[1]ელ. ტენდერი'!Q:Q,"სახელმწიფო ბიუჯეტი",'[1]ელ. ტენდერი'!R:R,"3503030702"),0)</f>
        <v>0</v>
      </c>
      <c r="Q30" s="26">
        <f t="shared" si="1"/>
        <v>13110</v>
      </c>
    </row>
    <row r="31" spans="1:17" x14ac:dyDescent="0.25">
      <c r="A31" s="17">
        <v>26</v>
      </c>
      <c r="B31" s="81" t="s">
        <v>71</v>
      </c>
      <c r="C31" s="18" t="s">
        <v>25</v>
      </c>
      <c r="D31" s="19">
        <v>3503030702</v>
      </c>
      <c r="E31" s="20" t="s">
        <v>72</v>
      </c>
      <c r="F31" s="21">
        <v>4990</v>
      </c>
      <c r="G31" s="22" t="s">
        <v>27</v>
      </c>
      <c r="H31" s="23">
        <v>43101</v>
      </c>
      <c r="I31" s="23">
        <v>43465</v>
      </c>
      <c r="J31" s="28"/>
      <c r="K31" s="25">
        <f>IF(G31="გამ. შესყიდვა",SUMIFS('[1]გამარტივებული შესყიდვა'!L:L,'[1]გამარტივებული შესყიდვა'!K:K,B31,'[1]გამარტივებული შესყიდვა'!N:N,"სახელმწიფო ბიუჯეტი",'[1]გამარტივებული შესყიდვა'!O:O,"350106"),0)</f>
        <v>12</v>
      </c>
      <c r="L31" s="25">
        <f>IF(G31="გამ. შესყიდვა",SUMIFS('[1]გამარტივებული შესყიდვა'!L:L,'[1]გამარტივებული შესყიდვა'!K:K,B31,'[1]გამარტივებული შესყიდვა'!N:N,"სახელმწიფო ბიუჯეტი",'[1]გამარტივებული შესყიდვა'!O:O,"3503030702"),0)</f>
        <v>83</v>
      </c>
      <c r="M31" s="25">
        <f>IF(G31="კონს. ტენდერი",SUMIFS('[1]კონსოლიდირებული ტენდერი'!L:L,'[1]კონსოლიდირებული ტენდერი'!E:E,B31,'[1]კონსოლიდირებული ტენდერი'!N:N,"სახელმწიფო ბიუჯეტი",'[1]კონსოლიდირებული ტენდერი'!O:O,"350106"),0)</f>
        <v>0</v>
      </c>
      <c r="N31" s="25">
        <f>IF(G31="კონს. ტენდერი",SUMIFS('[1]კონსოლიდირებული ტენდერი'!L:L,'[1]კონსოლიდირებული ტენდერი'!E:E,B31,'[1]კონსოლიდირებული ტენდერი'!N:N,"სახელმწიფო ბიუჯეტი",'[1]კონსოლიდირებული ტენდერი'!O:O,"3503030702"),0)</f>
        <v>0</v>
      </c>
      <c r="O31" s="25">
        <f>IF(G31="ელ. ტენდერი",SUMIFS('[1]ელ. ტენდერი'!N:N,'[1]ელ. ტენდერი'!G:G,B31,'[1]ელ. ტენდერი'!Q:Q,"სახელმწიფო ბიუჯეტი",'[1]ელ. ტენდერი'!R:R,"350106"),0)</f>
        <v>0</v>
      </c>
      <c r="P31" s="25">
        <f>IF(G31="ელ. ტენდერი",SUMIFS('[1]ელ. ტენდერი'!N:N,'[1]ელ. ტენდერი'!G:G,'30.05.2018'!B31,'[1]ელ. ტენდერი'!Q:Q,"სახელმწიფო ბიუჯეტი",'[1]ელ. ტენდერი'!R:R,"3503030702"),0)</f>
        <v>0</v>
      </c>
      <c r="Q31" s="26">
        <f t="shared" si="1"/>
        <v>4895</v>
      </c>
    </row>
    <row r="32" spans="1:17" x14ac:dyDescent="0.25">
      <c r="A32" s="17">
        <v>27</v>
      </c>
      <c r="B32" s="81" t="s">
        <v>73</v>
      </c>
      <c r="C32" s="18" t="s">
        <v>25</v>
      </c>
      <c r="D32" s="19">
        <v>3503030702</v>
      </c>
      <c r="E32" s="20" t="s">
        <v>74</v>
      </c>
      <c r="F32" s="21">
        <v>3500</v>
      </c>
      <c r="G32" s="22" t="s">
        <v>27</v>
      </c>
      <c r="H32" s="23">
        <v>43101</v>
      </c>
      <c r="I32" s="23">
        <v>43465</v>
      </c>
      <c r="J32" s="28"/>
      <c r="K32" s="25">
        <f>IF(G32="გამ. შესყიდვა",SUMIFS('[1]გამარტივებული შესყიდვა'!L:L,'[1]გამარტივებული შესყიდვა'!K:K,B32,'[1]გამარტივებული შესყიდვა'!N:N,"სახელმწიფო ბიუჯეტი",'[1]გამარტივებული შესყიდვა'!O:O,"350106"),0)</f>
        <v>3.5</v>
      </c>
      <c r="L32" s="25">
        <f>IF(G32="გამ. შესყიდვა",SUMIFS('[1]გამარტივებული შესყიდვა'!L:L,'[1]გამარტივებული შესყიდვა'!K:K,B32,'[1]გამარტივებული შესყიდვა'!N:N,"სახელმწიფო ბიუჯეტი",'[1]გამარტივებული შესყიდვა'!O:O,"3503030702"),0)</f>
        <v>192</v>
      </c>
      <c r="M32" s="25">
        <f>IF(G32="კონს. ტენდერი",SUMIFS('[1]კონსოლიდირებული ტენდერი'!L:L,'[1]კონსოლიდირებული ტენდერი'!E:E,B32,'[1]კონსოლიდირებული ტენდერი'!N:N,"სახელმწიფო ბიუჯეტი",'[1]კონსოლიდირებული ტენდერი'!O:O,"350106"),0)</f>
        <v>0</v>
      </c>
      <c r="N32" s="25">
        <f>IF(G32="კონს. ტენდერი",SUMIFS('[1]კონსოლიდირებული ტენდერი'!L:L,'[1]კონსოლიდირებული ტენდერი'!E:E,B32,'[1]კონსოლიდირებული ტენდერი'!N:N,"სახელმწიფო ბიუჯეტი",'[1]კონსოლიდირებული ტენდერი'!O:O,"3503030702"),0)</f>
        <v>0</v>
      </c>
      <c r="O32" s="25">
        <f>IF(G32="ელ. ტენდერი",SUMIFS('[1]ელ. ტენდერი'!N:N,'[1]ელ. ტენდერი'!G:G,B32,'[1]ელ. ტენდერი'!Q:Q,"სახელმწიფო ბიუჯეტი",'[1]ელ. ტენდერი'!R:R,"350106"),0)</f>
        <v>0</v>
      </c>
      <c r="P32" s="25">
        <f>IF(G32="ელ. ტენდერი",SUMIFS('[1]ელ. ტენდერი'!N:N,'[1]ელ. ტენდერი'!G:G,'30.05.2018'!B32,'[1]ელ. ტენდერი'!Q:Q,"სახელმწიფო ბიუჯეტი",'[1]ელ. ტენდერი'!R:R,"3503030702"),0)</f>
        <v>0</v>
      </c>
      <c r="Q32" s="26">
        <f t="shared" si="1"/>
        <v>3304.5</v>
      </c>
    </row>
    <row r="33" spans="1:17" x14ac:dyDescent="0.25">
      <c r="A33" s="17">
        <v>28</v>
      </c>
      <c r="B33" s="81" t="s">
        <v>73</v>
      </c>
      <c r="C33" s="18" t="s">
        <v>25</v>
      </c>
      <c r="D33" s="19">
        <v>350106</v>
      </c>
      <c r="E33" s="20" t="s">
        <v>74</v>
      </c>
      <c r="F33" s="21">
        <v>1400</v>
      </c>
      <c r="G33" s="22" t="s">
        <v>27</v>
      </c>
      <c r="H33" s="23">
        <v>43101</v>
      </c>
      <c r="I33" s="23">
        <v>43465</v>
      </c>
      <c r="J33" s="28"/>
      <c r="K33" s="25">
        <f>IF(G33="გამ. შესყიდვა",SUMIFS('[1]გამარტივებული შესყიდვა'!L:L,'[1]გამარტივებული შესყიდვა'!K:K,B33,'[1]გამარტივებული შესყიდვა'!N:N,"სახელმწიფო ბიუჯეტი",'[1]გამარტივებული შესყიდვა'!O:O,"350106"),0)</f>
        <v>3.5</v>
      </c>
      <c r="L33" s="25">
        <f>IF(G33="გამ. შესყიდვა",SUMIFS('[1]გამარტივებული შესყიდვა'!L:L,'[1]გამარტივებული შესყიდვა'!K:K,B33,'[1]გამარტივებული შესყიდვა'!N:N,"სახელმწიფო ბიუჯეტი",'[1]გამარტივებული შესყიდვა'!O:O,"3503030702"),0)</f>
        <v>192</v>
      </c>
      <c r="M33" s="25">
        <f>IF(G33="კონს. ტენდერი",SUMIFS('[1]კონსოლიდირებული ტენდერი'!L:L,'[1]კონსოლიდირებული ტენდერი'!E:E,B33,'[1]კონსოლიდირებული ტენდერი'!N:N,"სახელმწიფო ბიუჯეტი",'[1]კონსოლიდირებული ტენდერი'!O:O,"350106"),0)</f>
        <v>0</v>
      </c>
      <c r="N33" s="25">
        <f>IF(G33="კონს. ტენდერი",SUMIFS('[1]კონსოლიდირებული ტენდერი'!L:L,'[1]კონსოლიდირებული ტენდერი'!E:E,B33,'[1]კონსოლიდირებული ტენდერი'!N:N,"სახელმწიფო ბიუჯეტი",'[1]კონსოლიდირებული ტენდერი'!O:O,"3503030702"),0)</f>
        <v>0</v>
      </c>
      <c r="O33" s="25">
        <f>IF(G33="ელ. ტენდერი",SUMIFS('[1]ელ. ტენდერი'!N:N,'[1]ელ. ტენდერი'!G:G,B33,'[1]ელ. ტენდერი'!Q:Q,"სახელმწიფო ბიუჯეტი",'[1]ელ. ტენდერი'!R:R,"350106"),0)</f>
        <v>0</v>
      </c>
      <c r="P33" s="25">
        <f>IF(G33="ელ. ტენდერი",SUMIFS('[1]ელ. ტენდერი'!N:N,'[1]ელ. ტენდერი'!G:G,'30.05.2018'!B33,'[1]ელ. ტენდერი'!Q:Q,"სახელმწიფო ბიუჯეტი",'[1]ელ. ტენდერი'!R:R,"3503030702"),0)</f>
        <v>0</v>
      </c>
      <c r="Q33" s="26">
        <f t="shared" si="1"/>
        <v>1204.5</v>
      </c>
    </row>
    <row r="34" spans="1:17" x14ac:dyDescent="0.25">
      <c r="A34" s="17">
        <v>29</v>
      </c>
      <c r="B34" s="81" t="s">
        <v>75</v>
      </c>
      <c r="C34" s="18" t="s">
        <v>25</v>
      </c>
      <c r="D34" s="19">
        <v>3503030702</v>
      </c>
      <c r="E34" s="20" t="s">
        <v>76</v>
      </c>
      <c r="F34" s="21">
        <v>40000</v>
      </c>
      <c r="G34" s="22" t="s">
        <v>34</v>
      </c>
      <c r="H34" s="23">
        <v>43101</v>
      </c>
      <c r="I34" s="23">
        <v>43465</v>
      </c>
      <c r="J34" s="28"/>
      <c r="K34" s="25">
        <f>IF(G34="გამ. შესყიდვა",SUMIFS('[1]გამარტივებული შესყიდვა'!L:L,'[1]გამარტივებული შესყიდვა'!K:K,B34,'[1]გამარტივებული შესყიდვა'!N:N,"სახელმწიფო ბიუჯეტი",'[1]გამარტივებული შესყიდვა'!O:O,"350106"),0)</f>
        <v>0</v>
      </c>
      <c r="L34" s="25">
        <f>IF(G34="გამ. შესყიდვა",SUMIFS('[1]გამარტივებული შესყიდვა'!L:L,'[1]გამარტივებული შესყიდვა'!K:K,B34,'[1]გამარტივებული შესყიდვა'!N:N,"სახელმწიფო ბიუჯეტი",'[1]გამარტივებული შესყიდვა'!O:O,"3503030702"),0)</f>
        <v>0</v>
      </c>
      <c r="M34" s="25">
        <f>IF(G34="კონს. ტენდერი",SUMIFS('[1]კონსოლიდირებული ტენდერი'!L:L,'[1]კონსოლიდირებული ტენდერი'!E:E,B34,'[1]კონსოლიდირებული ტენდერი'!N:N,"სახელმწიფო ბიუჯეტი",'[1]კონსოლიდირებული ტენდერი'!O:O,"350106"),0)</f>
        <v>0</v>
      </c>
      <c r="N34" s="25">
        <f>IF(G34="კონს. ტენდერი",SUMIFS('[1]კონსოლიდირებული ტენდერი'!L:L,'[1]კონსოლიდირებული ტენდერი'!E:E,B34,'[1]კონსოლიდირებული ტენდერი'!N:N,"სახელმწიფო ბიუჯეტი",'[1]კონსოლიდირებული ტენდერი'!O:O,"3503030702"),0)</f>
        <v>0</v>
      </c>
      <c r="O34" s="25">
        <f>IF(G34="ელ. ტენდერი",SUMIFS('[1]ელ. ტენდერი'!N:N,'[1]ელ. ტენდერი'!G:G,B34,'[1]ელ. ტენდერი'!Q:Q,"სახელმწიფო ბიუჯეტი",'[1]ელ. ტენდერი'!R:R,"350106"),0)</f>
        <v>0</v>
      </c>
      <c r="P34" s="25">
        <f>IF(G34="ელ. ტენდერი",SUMIFS('[1]ელ. ტენდერი'!N:N,'[1]ელ. ტენდერი'!G:G,'30.05.2018'!B34,'[1]ელ. ტენდერი'!Q:Q,"სახელმწიფო ბიუჯეტი",'[1]ელ. ტენდერი'!R:R,"3503030702"),0)</f>
        <v>20169</v>
      </c>
      <c r="Q34" s="26">
        <f t="shared" si="1"/>
        <v>19831</v>
      </c>
    </row>
    <row r="35" spans="1:17" x14ac:dyDescent="0.25">
      <c r="A35" s="17">
        <v>30</v>
      </c>
      <c r="B35" s="81" t="s">
        <v>77</v>
      </c>
      <c r="C35" s="18" t="s">
        <v>25</v>
      </c>
      <c r="D35" s="19">
        <v>3503030702</v>
      </c>
      <c r="E35" s="20" t="s">
        <v>78</v>
      </c>
      <c r="F35" s="21">
        <v>4900</v>
      </c>
      <c r="G35" s="22" t="s">
        <v>27</v>
      </c>
      <c r="H35" s="23">
        <v>43101</v>
      </c>
      <c r="I35" s="23">
        <v>43465</v>
      </c>
      <c r="J35" s="28"/>
      <c r="K35" s="25">
        <f>IF(G35="გამ. შესყიდვა",SUMIFS('[1]გამარტივებული შესყიდვა'!L:L,'[1]გამარტივებული შესყიდვა'!K:K,B35,'[1]გამარტივებული შესყიდვა'!N:N,"სახელმწიფო ბიუჯეტი",'[1]გამარტივებული შესყიდვა'!O:O,"350106"),0)</f>
        <v>0</v>
      </c>
      <c r="L35" s="25">
        <f>IF(G35="გამ. შესყიდვა",SUMIFS('[1]გამარტივებული შესყიდვა'!L:L,'[1]გამარტივებული შესყიდვა'!K:K,B35,'[1]გამარტივებული შესყიდვა'!N:N,"სახელმწიფო ბიუჯეტი",'[1]გამარტივებული შესყიდვა'!O:O,"3503030702"),0)</f>
        <v>120</v>
      </c>
      <c r="M35" s="25">
        <f>IF(G35="კონს. ტენდერი",SUMIFS('[1]კონსოლიდირებული ტენდერი'!L:L,'[1]კონსოლიდირებული ტენდერი'!E:E,B35,'[1]კონსოლიდირებული ტენდერი'!N:N,"სახელმწიფო ბიუჯეტი",'[1]კონსოლიდირებული ტენდერი'!O:O,"350106"),0)</f>
        <v>0</v>
      </c>
      <c r="N35" s="25">
        <f>IF(G35="კონს. ტენდერი",SUMIFS('[1]კონსოლიდირებული ტენდერი'!L:L,'[1]კონსოლიდირებული ტენდერი'!E:E,B35,'[1]კონსოლიდირებული ტენდერი'!N:N,"სახელმწიფო ბიუჯეტი",'[1]კონსოლიდირებული ტენდერი'!O:O,"3503030702"),0)</f>
        <v>0</v>
      </c>
      <c r="O35" s="25">
        <f>IF(G35="ელ. ტენდერი",SUMIFS('[1]ელ. ტენდერი'!N:N,'[1]ელ. ტენდერი'!G:G,B35,'[1]ელ. ტენდერი'!Q:Q,"სახელმწიფო ბიუჯეტი",'[1]ელ. ტენდერი'!R:R,"350106"),0)</f>
        <v>0</v>
      </c>
      <c r="P35" s="25">
        <f>IF(G35="ელ. ტენდერი",SUMIFS('[1]ელ. ტენდერი'!N:N,'[1]ელ. ტენდერი'!G:G,'30.05.2018'!B35,'[1]ელ. ტენდერი'!Q:Q,"სახელმწიფო ბიუჯეტი",'[1]ელ. ტენდერი'!R:R,"3503030702"),0)</f>
        <v>0</v>
      </c>
      <c r="Q35" s="26">
        <f t="shared" si="1"/>
        <v>4780</v>
      </c>
    </row>
    <row r="36" spans="1:17" x14ac:dyDescent="0.25">
      <c r="A36" s="17">
        <v>31</v>
      </c>
      <c r="B36" s="81" t="s">
        <v>79</v>
      </c>
      <c r="C36" s="18" t="s">
        <v>25</v>
      </c>
      <c r="D36" s="19">
        <v>3503030702</v>
      </c>
      <c r="E36" s="20" t="s">
        <v>80</v>
      </c>
      <c r="F36" s="21">
        <v>4990</v>
      </c>
      <c r="G36" s="22" t="s">
        <v>27</v>
      </c>
      <c r="H36" s="23">
        <v>43101</v>
      </c>
      <c r="I36" s="23">
        <v>43465</v>
      </c>
      <c r="J36" s="28"/>
      <c r="K36" s="25">
        <f>IF(G36="გამ. შესყიდვა",SUMIFS('[1]გამარტივებული შესყიდვა'!L:L,'[1]გამარტივებული შესყიდვა'!K:K,B36,'[1]გამარტივებული შესყიდვა'!N:N,"სახელმწიფო ბიუჯეტი",'[1]გამარტივებული შესყიდვა'!O:O,"350106"),0)</f>
        <v>32</v>
      </c>
      <c r="L36" s="25">
        <f>IF(G36="გამ. შესყიდვა",SUMIFS('[1]გამარტივებული შესყიდვა'!L:L,'[1]გამარტივებული შესყიდვა'!K:K,B36,'[1]გამარტივებული შესყიდვა'!N:N,"სახელმწიფო ბიუჯეტი",'[1]გამარტივებული შესყიდვა'!O:O,"3503030702"),0)</f>
        <v>47.84</v>
      </c>
      <c r="M36" s="25">
        <f>IF(G36="კონს. ტენდერი",SUMIFS('[1]კონსოლიდირებული ტენდერი'!L:L,'[1]კონსოლიდირებული ტენდერი'!E:E,B36,'[1]კონსოლიდირებული ტენდერი'!N:N,"სახელმწიფო ბიუჯეტი",'[1]კონსოლიდირებული ტენდერი'!O:O,"350106"),0)</f>
        <v>0</v>
      </c>
      <c r="N36" s="25">
        <f>IF(G36="კონს. ტენდერი",SUMIFS('[1]კონსოლიდირებული ტენდერი'!L:L,'[1]კონსოლიდირებული ტენდერი'!E:E,B36,'[1]კონსოლიდირებული ტენდერი'!N:N,"სახელმწიფო ბიუჯეტი",'[1]კონსოლიდირებული ტენდერი'!O:O,"3503030702"),0)</f>
        <v>0</v>
      </c>
      <c r="O36" s="25">
        <f>IF(G36="ელ. ტენდერი",SUMIFS('[1]ელ. ტენდერი'!N:N,'[1]ელ. ტენდერი'!G:G,B36,'[1]ელ. ტენდერი'!Q:Q,"სახელმწიფო ბიუჯეტი",'[1]ელ. ტენდერი'!R:R,"350106"),0)</f>
        <v>0</v>
      </c>
      <c r="P36" s="25">
        <f>IF(G36="ელ. ტენდერი",SUMIFS('[1]ელ. ტენდერი'!N:N,'[1]ელ. ტენდერი'!G:G,'30.05.2018'!B36,'[1]ელ. ტენდერი'!Q:Q,"სახელმწიფო ბიუჯეტი",'[1]ელ. ტენდერი'!R:R,"3503030702"),0)</f>
        <v>0</v>
      </c>
      <c r="Q36" s="26">
        <f t="shared" si="1"/>
        <v>4910.16</v>
      </c>
    </row>
    <row r="37" spans="1:17" x14ac:dyDescent="0.25">
      <c r="A37" s="17">
        <v>32</v>
      </c>
      <c r="B37" s="81" t="s">
        <v>81</v>
      </c>
      <c r="C37" s="18" t="s">
        <v>25</v>
      </c>
      <c r="D37" s="19">
        <v>3503030702</v>
      </c>
      <c r="E37" s="20" t="s">
        <v>82</v>
      </c>
      <c r="F37" s="21">
        <v>4990</v>
      </c>
      <c r="G37" s="22" t="s">
        <v>27</v>
      </c>
      <c r="H37" s="23">
        <v>43101</v>
      </c>
      <c r="I37" s="23">
        <v>43465</v>
      </c>
      <c r="J37" s="28"/>
      <c r="K37" s="25">
        <f>IF(G37="გამ. შესყიდვა",SUMIFS('[1]გამარტივებული შესყიდვა'!L:L,'[1]გამარტივებული შესყიდვა'!K:K,B37,'[1]გამარტივებული შესყიდვა'!N:N,"სახელმწიფო ბიუჯეტი",'[1]გამარტივებული შესყიდვა'!O:O,"350106"),0)</f>
        <v>0</v>
      </c>
      <c r="L37" s="25">
        <f>IF(G37="გამ. შესყიდვა",SUMIFS('[1]გამარტივებული შესყიდვა'!L:L,'[1]გამარტივებული შესყიდვა'!K:K,B37,'[1]გამარტივებული შესყიდვა'!N:N,"სახელმწიფო ბიუჯეტი",'[1]გამარტივებული შესყიდვა'!O:O,"3503030702"),0)</f>
        <v>0</v>
      </c>
      <c r="M37" s="25">
        <f>IF(G37="კონს. ტენდერი",SUMIFS('[1]კონსოლიდირებული ტენდერი'!L:L,'[1]კონსოლიდირებული ტენდერი'!E:E,B37,'[1]კონსოლიდირებული ტენდერი'!N:N,"სახელმწიფო ბიუჯეტი",'[1]კონსოლიდირებული ტენდერი'!O:O,"350106"),0)</f>
        <v>0</v>
      </c>
      <c r="N37" s="25">
        <f>IF(G37="კონს. ტენდერი",SUMIFS('[1]კონსოლიდირებული ტენდერი'!L:L,'[1]კონსოლიდირებული ტენდერი'!E:E,B37,'[1]კონსოლიდირებული ტენდერი'!N:N,"სახელმწიფო ბიუჯეტი",'[1]კონსოლიდირებული ტენდერი'!O:O,"3503030702"),0)</f>
        <v>0</v>
      </c>
      <c r="O37" s="25">
        <f>IF(G37="ელ. ტენდერი",SUMIFS('[1]ელ. ტენდერი'!N:N,'[1]ელ. ტენდერი'!G:G,B37,'[1]ელ. ტენდერი'!Q:Q,"სახელმწიფო ბიუჯეტი",'[1]ელ. ტენდერი'!R:R,"350106"),0)</f>
        <v>0</v>
      </c>
      <c r="P37" s="25">
        <f>IF(G37="ელ. ტენდერი",SUMIFS('[1]ელ. ტენდერი'!N:N,'[1]ელ. ტენდერი'!G:G,'30.05.2018'!B37,'[1]ელ. ტენდერი'!Q:Q,"სახელმწიფო ბიუჯეტი",'[1]ელ. ტენდერი'!R:R,"3503030702"),0)</f>
        <v>0</v>
      </c>
      <c r="Q37" s="26">
        <f t="shared" si="1"/>
        <v>4990</v>
      </c>
    </row>
    <row r="38" spans="1:17" x14ac:dyDescent="0.25">
      <c r="A38" s="17">
        <v>33</v>
      </c>
      <c r="B38" s="81" t="s">
        <v>83</v>
      </c>
      <c r="C38" s="18" t="s">
        <v>25</v>
      </c>
      <c r="D38" s="31">
        <v>350106</v>
      </c>
      <c r="E38" s="20" t="s">
        <v>84</v>
      </c>
      <c r="F38" s="21">
        <v>4990</v>
      </c>
      <c r="G38" s="22" t="s">
        <v>27</v>
      </c>
      <c r="H38" s="23">
        <v>43101</v>
      </c>
      <c r="I38" s="23">
        <v>43465</v>
      </c>
      <c r="J38" s="28"/>
      <c r="K38" s="25">
        <f>IF(G38="გამ. შესყიდვა",SUMIFS('[1]გამარტივებული შესყიდვა'!L:L,'[1]გამარტივებული შესყიდვა'!K:K,B38,'[1]გამარტივებული შესყიდვა'!N:N,"სახელმწიფო ბიუჯეტი",'[1]გამარტივებული შესყიდვა'!O:O,"350106"),0)</f>
        <v>296.39999999999998</v>
      </c>
      <c r="L38" s="25">
        <f>IF(G38="გამ. შესყიდვა",SUMIFS('[1]გამარტივებული შესყიდვა'!L:L,'[1]გამარტივებული შესყიდვა'!K:K,B38,'[1]გამარტივებული შესყიდვა'!N:N,"სახელმწიფო ბიუჯეტი",'[1]გამარტივებული შესყიდვა'!O:O,"3503030702"),0)</f>
        <v>0</v>
      </c>
      <c r="M38" s="25">
        <f>IF(G38="კონს. ტენდერი",SUMIFS('[1]კონსოლიდირებული ტენდერი'!L:L,'[1]კონსოლიდირებული ტენდერი'!E:E,B38,'[1]კონსოლიდირებული ტენდერი'!N:N,"სახელმწიფო ბიუჯეტი",'[1]კონსოლიდირებული ტენდერი'!O:O,"350106"),0)</f>
        <v>0</v>
      </c>
      <c r="N38" s="25">
        <f>IF(G38="კონს. ტენდერი",SUMIFS('[1]კონსოლიდირებული ტენდერი'!L:L,'[1]კონსოლიდირებული ტენდერი'!E:E,B38,'[1]კონსოლიდირებული ტენდერი'!N:N,"სახელმწიფო ბიუჯეტი",'[1]კონსოლიდირებული ტენდერი'!O:O,"3503030702"),0)</f>
        <v>0</v>
      </c>
      <c r="O38" s="25">
        <f>IF(G38="ელ. ტენდერი",SUMIFS('[1]ელ. ტენდერი'!N:N,'[1]ელ. ტენდერი'!G:G,B38,'[1]ელ. ტენდერი'!Q:Q,"სახელმწიფო ბიუჯეტი",'[1]ელ. ტენდერი'!R:R,"350106"),0)</f>
        <v>0</v>
      </c>
      <c r="P38" s="25">
        <f>IF(G38="ელ. ტენდერი",SUMIFS('[1]ელ. ტენდერი'!N:N,'[1]ელ. ტენდერი'!G:G,'30.05.2018'!B38,'[1]ელ. ტენდერი'!Q:Q,"სახელმწიფო ბიუჯეტი",'[1]ელ. ტენდერი'!R:R,"3503030702"),0)</f>
        <v>0</v>
      </c>
      <c r="Q38" s="26">
        <f t="shared" si="1"/>
        <v>4693.6000000000004</v>
      </c>
    </row>
    <row r="39" spans="1:17" x14ac:dyDescent="0.25">
      <c r="A39" s="17">
        <v>34</v>
      </c>
      <c r="B39" s="81" t="s">
        <v>85</v>
      </c>
      <c r="C39" s="18" t="s">
        <v>25</v>
      </c>
      <c r="D39" s="19">
        <v>3503030702</v>
      </c>
      <c r="E39" s="20" t="s">
        <v>86</v>
      </c>
      <c r="F39" s="21">
        <v>10000</v>
      </c>
      <c r="G39" s="22" t="s">
        <v>34</v>
      </c>
      <c r="H39" s="23">
        <v>43101</v>
      </c>
      <c r="I39" s="23">
        <v>43465</v>
      </c>
      <c r="J39" s="36"/>
      <c r="K39" s="25">
        <f>IF(G39="გამ. შესყიდვა",SUMIFS('[1]გამარტივებული შესყიდვა'!L:L,'[1]გამარტივებული შესყიდვა'!K:K,B39,'[1]გამარტივებული შესყიდვა'!N:N,"სახელმწიფო ბიუჯეტი",'[1]გამარტივებული შესყიდვა'!O:O,"350106"),0)</f>
        <v>0</v>
      </c>
      <c r="L39" s="25">
        <f>IF(G39="გამ. შესყიდვა",SUMIFS('[1]გამარტივებული შესყიდვა'!L:L,'[1]გამარტივებული შესყიდვა'!K:K,B39,'[1]გამარტივებული შესყიდვა'!N:N,"სახელმწიფო ბიუჯეტი",'[1]გამარტივებული შესყიდვა'!O:O,"3503030702"),0)</f>
        <v>0</v>
      </c>
      <c r="M39" s="25">
        <f>IF(G39="კონს. ტენდერი",SUMIFS('[1]კონსოლიდირებული ტენდერი'!L:L,'[1]კონსოლიდირებული ტენდერი'!E:E,B39,'[1]კონსოლიდირებული ტენდერი'!N:N,"სახელმწიფო ბიუჯეტი",'[1]კონსოლიდირებული ტენდერი'!O:O,"350106"),0)</f>
        <v>0</v>
      </c>
      <c r="N39" s="25">
        <f>IF(G39="კონს. ტენდერი",SUMIFS('[1]კონსოლიდირებული ტენდერი'!L:L,'[1]კონსოლიდირებული ტენდერი'!E:E,B39,'[1]კონსოლიდირებული ტენდერი'!N:N,"სახელმწიფო ბიუჯეტი",'[1]კონსოლიდირებული ტენდერი'!O:O,"3503030702"),0)</f>
        <v>0</v>
      </c>
      <c r="O39" s="25">
        <f>IF(G39="ელ. ტენდერი",SUMIFS('[1]ელ. ტენდერი'!N:N,'[1]ელ. ტენდერი'!G:G,B39,'[1]ელ. ტენდერი'!Q:Q,"სახელმწიფო ბიუჯეტი",'[1]ელ. ტენდერი'!R:R,"350106"),0)</f>
        <v>0</v>
      </c>
      <c r="P39" s="25">
        <f>IF(G39="ელ. ტენდერი",SUMIFS('[1]ელ. ტენდერი'!N:N,'[1]ელ. ტენდერი'!G:G,'30.05.2018'!B39,'[1]ელ. ტენდერი'!Q:Q,"სახელმწიფო ბიუჯეტი",'[1]ელ. ტენდერი'!R:R,"3503030702"),0)</f>
        <v>0</v>
      </c>
      <c r="Q39" s="26">
        <f t="shared" si="1"/>
        <v>10000</v>
      </c>
    </row>
    <row r="40" spans="1:17" x14ac:dyDescent="0.25">
      <c r="A40" s="17">
        <v>35</v>
      </c>
      <c r="B40" s="81" t="s">
        <v>87</v>
      </c>
      <c r="C40" s="18" t="s">
        <v>25</v>
      </c>
      <c r="D40" s="19">
        <v>3503030702</v>
      </c>
      <c r="E40" s="20" t="s">
        <v>88</v>
      </c>
      <c r="F40" s="21">
        <v>4990</v>
      </c>
      <c r="G40" s="22" t="s">
        <v>27</v>
      </c>
      <c r="H40" s="23">
        <v>43101</v>
      </c>
      <c r="I40" s="23">
        <v>43465</v>
      </c>
      <c r="J40" s="36"/>
      <c r="K40" s="25">
        <f>IF(G40="გამ. შესყიდვა",SUMIFS('[1]გამარტივებული შესყიდვა'!L:L,'[1]გამარტივებული შესყიდვა'!K:K,B40,'[1]გამარტივებული შესყიდვა'!N:N,"სახელმწიფო ბიუჯეტი",'[1]გამარტივებული შესყიდვა'!O:O,"350106"),0)</f>
        <v>50</v>
      </c>
      <c r="L40" s="25">
        <f>IF(G40="გამ. შესყიდვა",SUMIFS('[1]გამარტივებული შესყიდვა'!L:L,'[1]გამარტივებული შესყიდვა'!K:K,B40,'[1]გამარტივებული შესყიდვა'!N:N,"სახელმწიფო ბიუჯეტი",'[1]გამარტივებული შესყიდვა'!O:O,"3503030702"),0)</f>
        <v>0</v>
      </c>
      <c r="M40" s="25">
        <f>IF(G40="კონს. ტენდერი",SUMIFS('[1]კონსოლიდირებული ტენდერი'!L:L,'[1]კონსოლიდირებული ტენდერი'!E:E,B40,'[1]კონსოლიდირებული ტენდერი'!N:N,"სახელმწიფო ბიუჯეტი",'[1]კონსოლიდირებული ტენდერი'!O:O,"350106"),0)</f>
        <v>0</v>
      </c>
      <c r="N40" s="25">
        <f>IF(G40="კონს. ტენდერი",SUMIFS('[1]კონსოლიდირებული ტენდერი'!L:L,'[1]კონსოლიდირებული ტენდერი'!E:E,B40,'[1]კონსოლიდირებული ტენდერი'!N:N,"სახელმწიფო ბიუჯეტი",'[1]კონსოლიდირებული ტენდერი'!O:O,"3503030702"),0)</f>
        <v>0</v>
      </c>
      <c r="O40" s="25">
        <f>IF(G40="ელ. ტენდერი",SUMIFS('[1]ელ. ტენდერი'!N:N,'[1]ელ. ტენდერი'!G:G,B40,'[1]ელ. ტენდერი'!Q:Q,"სახელმწიფო ბიუჯეტი",'[1]ელ. ტენდერი'!R:R,"350106"),0)</f>
        <v>0</v>
      </c>
      <c r="P40" s="25">
        <f>IF(G40="ელ. ტენდერი",SUMIFS('[1]ელ. ტენდერი'!N:N,'[1]ელ. ტენდერი'!G:G,'30.05.2018'!B40,'[1]ელ. ტენდერი'!Q:Q,"სახელმწიფო ბიუჯეტი",'[1]ელ. ტენდერი'!R:R,"3503030702"),0)</f>
        <v>0</v>
      </c>
      <c r="Q40" s="26">
        <f t="shared" si="1"/>
        <v>4940</v>
      </c>
    </row>
    <row r="41" spans="1:17" x14ac:dyDescent="0.25">
      <c r="A41" s="17">
        <v>36</v>
      </c>
      <c r="B41" s="81" t="s">
        <v>89</v>
      </c>
      <c r="C41" s="18" t="s">
        <v>25</v>
      </c>
      <c r="D41" s="19">
        <v>3503030702</v>
      </c>
      <c r="E41" s="20" t="s">
        <v>90</v>
      </c>
      <c r="F41" s="37">
        <v>500000</v>
      </c>
      <c r="G41" s="22" t="s">
        <v>34</v>
      </c>
      <c r="H41" s="23">
        <v>43101</v>
      </c>
      <c r="I41" s="23">
        <v>43465</v>
      </c>
      <c r="J41" s="36"/>
      <c r="K41" s="25">
        <f>IF(G41="გამ. შესყიდვა",SUMIFS('[1]გამარტივებული შესყიდვა'!L:L,'[1]გამარტივებული შესყიდვა'!K:K,B41,'[1]გამარტივებული შესყიდვა'!N:N,"სახელმწიფო ბიუჯეტი",'[1]გამარტივებული შესყიდვა'!O:O,"350106"),0)</f>
        <v>0</v>
      </c>
      <c r="L41" s="25">
        <f>IF(G41="გამ. შესყიდვა",SUMIFS('[1]გამარტივებული შესყიდვა'!L:L,'[1]გამარტივებული შესყიდვა'!K:K,B41,'[1]გამარტივებული შესყიდვა'!N:N,"სახელმწიფო ბიუჯეტი",'[1]გამარტივებული შესყიდვა'!O:O,"3503030702"),0)</f>
        <v>0</v>
      </c>
      <c r="M41" s="25">
        <f>IF(G41="კონს. ტენდერი",SUMIFS('[1]კონსოლიდირებული ტენდერი'!L:L,'[1]კონსოლიდირებული ტენდერი'!E:E,B41,'[1]კონსოლიდირებული ტენდერი'!N:N,"სახელმწიფო ბიუჯეტი",'[1]კონსოლიდირებული ტენდერი'!O:O,"350106"),0)</f>
        <v>0</v>
      </c>
      <c r="N41" s="25">
        <f>IF(G41="კონს. ტენდერი",SUMIFS('[1]კონსოლიდირებული ტენდერი'!L:L,'[1]კონსოლიდირებული ტენდერი'!E:E,B41,'[1]კონსოლიდირებული ტენდერი'!N:N,"სახელმწიფო ბიუჯეტი",'[1]კონსოლიდირებული ტენდერი'!O:O,"3503030702"),0)</f>
        <v>0</v>
      </c>
      <c r="O41" s="25">
        <f>IF(G41="ელ. ტენდერი",SUMIFS('[1]ელ. ტენდერი'!N:N,'[1]ელ. ტენდერი'!G:G,B41,'[1]ელ. ტენდერი'!Q:Q,"სახელმწიფო ბიუჯეტი",'[1]ელ. ტენდერი'!R:R,"350106"),0)</f>
        <v>0</v>
      </c>
      <c r="P41" s="25">
        <f>IF(G41="ელ. ტენდერი",SUMIFS('[1]ელ. ტენდერი'!N:N,'[1]ელ. ტენდერი'!G:G,'30.05.2018'!B41,'[1]ელ. ტენდერი'!Q:Q,"სახელმწიფო ბიუჯეტი",'[1]ელ. ტენდერი'!R:R,"3503030702"),0)</f>
        <v>344385</v>
      </c>
      <c r="Q41" s="26">
        <f t="shared" si="1"/>
        <v>155615</v>
      </c>
    </row>
    <row r="42" spans="1:17" x14ac:dyDescent="0.25">
      <c r="A42" s="17">
        <v>37</v>
      </c>
      <c r="B42" s="81" t="s">
        <v>89</v>
      </c>
      <c r="C42" s="18" t="s">
        <v>25</v>
      </c>
      <c r="D42" s="19">
        <v>3503030702</v>
      </c>
      <c r="E42" s="20" t="s">
        <v>90</v>
      </c>
      <c r="F42" s="37">
        <v>30000</v>
      </c>
      <c r="G42" s="22" t="s">
        <v>27</v>
      </c>
      <c r="H42" s="23">
        <v>43101</v>
      </c>
      <c r="I42" s="23">
        <v>43465</v>
      </c>
      <c r="J42" s="38" t="s">
        <v>39</v>
      </c>
      <c r="K42" s="25">
        <f>IF(G42="გამ. შესყიდვა",SUMIFS('[1]გამარტივებული შესყიდვა'!L:L,'[1]გამარტივებული შესყიდვა'!K:K,B42,'[1]გამარტივებული შესყიდვა'!N:N,"სახელმწიფო ბიუჯეტი",'[1]გამარტივებული შესყიდვა'!O:O,"350106"),0)</f>
        <v>0</v>
      </c>
      <c r="L42" s="25">
        <f>IF(G42="გამ. შესყიდვა",SUMIFS('[1]გამარტივებული შესყიდვა'!L:L,'[1]გამარტივებული შესყიდვა'!K:K,B42,'[1]გამარტივებული შესყიდვა'!N:N,"სახელმწიფო ბიუჯეტი",'[1]გამარტივებული შესყიდვა'!O:O,"3503030702"),0)</f>
        <v>0</v>
      </c>
      <c r="M42" s="25">
        <f>IF(G42="კონს. ტენდერი",SUMIFS('[1]კონსოლიდირებული ტენდერი'!L:L,'[1]კონსოლიდირებული ტენდერი'!E:E,B42,'[1]კონსოლიდირებული ტენდერი'!N:N,"სახელმწიფო ბიუჯეტი",'[1]კონსოლიდირებული ტენდერი'!O:O,"350106"),0)</f>
        <v>0</v>
      </c>
      <c r="N42" s="25">
        <f>IF(G42="კონს. ტენდერი",SUMIFS('[1]კონსოლიდირებული ტენდერი'!L:L,'[1]კონსოლიდირებული ტენდერი'!E:E,B42,'[1]კონსოლიდირებული ტენდერი'!N:N,"სახელმწიფო ბიუჯეტი",'[1]კონსოლიდირებული ტენდერი'!O:O,"3503030702"),0)</f>
        <v>0</v>
      </c>
      <c r="O42" s="25">
        <f>IF(G42="ელ. ტენდერი",SUMIFS('[1]ელ. ტენდერი'!N:N,'[1]ელ. ტენდერი'!G:G,B42,'[1]ელ. ტენდერი'!Q:Q,"სახელმწიფო ბიუჯეტი",'[1]ელ. ტენდერი'!R:R,"350106"),0)</f>
        <v>0</v>
      </c>
      <c r="P42" s="25">
        <f>IF(G42="ელ. ტენდერი",SUMIFS('[1]ელ. ტენდერი'!N:N,'[1]ელ. ტენდერი'!G:G,'30.05.2018'!B42,'[1]ელ. ტენდერი'!Q:Q,"სახელმწიფო ბიუჯეტი",'[1]ელ. ტენდერი'!R:R,"3503030702"),0)</f>
        <v>0</v>
      </c>
      <c r="Q42" s="26">
        <f t="shared" si="1"/>
        <v>30000</v>
      </c>
    </row>
    <row r="43" spans="1:17" x14ac:dyDescent="0.25">
      <c r="A43" s="17">
        <v>38</v>
      </c>
      <c r="B43" s="81" t="s">
        <v>91</v>
      </c>
      <c r="C43" s="18" t="s">
        <v>25</v>
      </c>
      <c r="D43" s="19">
        <v>3503030702</v>
      </c>
      <c r="E43" s="20" t="s">
        <v>92</v>
      </c>
      <c r="F43" s="37">
        <f>900000+310494-200000-230774+70000+36000-1800</f>
        <v>883920</v>
      </c>
      <c r="G43" s="22" t="s">
        <v>34</v>
      </c>
      <c r="H43" s="23">
        <v>43101</v>
      </c>
      <c r="I43" s="23">
        <v>43465</v>
      </c>
      <c r="J43" s="36"/>
      <c r="K43" s="25">
        <f>IF(G43="გამ. შესყიდვა",SUMIFS('[1]გამარტივებული შესყიდვა'!L:L,'[1]გამარტივებული შესყიდვა'!K:K,B43,'[1]გამარტივებული შესყიდვა'!N:N,"სახელმწიფო ბიუჯეტი",'[1]გამარტივებული შესყიდვა'!O:O,"350106"),0)</f>
        <v>0</v>
      </c>
      <c r="L43" s="25">
        <f>IF(G43="გამ. შესყიდვა",SUMIFS('[1]გამარტივებული შესყიდვა'!L:L,'[1]გამარტივებული შესყიდვა'!K:K,B43,'[1]გამარტივებული შესყიდვა'!N:N,"სახელმწიფო ბიუჯეტი",'[1]გამარტივებული შესყიდვა'!O:O,"3503030702"),0)</f>
        <v>0</v>
      </c>
      <c r="M43" s="25">
        <f>IF(G43="კონს. ტენდერი",SUMIFS('[1]კონსოლიდირებული ტენდერი'!L:L,'[1]კონსოლიდირებული ტენდერი'!E:E,B43,'[1]კონსოლიდირებული ტენდერი'!N:N,"სახელმწიფო ბიუჯეტი",'[1]კონსოლიდირებული ტენდერი'!O:O,"350106"),0)</f>
        <v>0</v>
      </c>
      <c r="N43" s="25">
        <f>IF(G43="კონს. ტენდერი",SUMIFS('[1]კონსოლიდირებული ტენდერი'!L:L,'[1]კონსოლიდირებული ტენდერი'!E:E,B43,'[1]კონსოლიდირებული ტენდერი'!N:N,"სახელმწიფო ბიუჯეტი",'[1]კონსოლიდირებული ტენდერი'!O:O,"3503030702"),0)</f>
        <v>0</v>
      </c>
      <c r="O43" s="25">
        <f>IF(G43="ელ. ტენდერი",SUMIFS('[1]ელ. ტენდერი'!N:N,'[1]ელ. ტენდერი'!G:G,B43,'[1]ელ. ტენდერი'!Q:Q,"სახელმწიფო ბიუჯეტი",'[1]ელ. ტენდერი'!R:R,"350106"),0)</f>
        <v>0</v>
      </c>
      <c r="P43" s="25">
        <f>IF(G43="ელ. ტენდერი",SUMIFS('[1]ელ. ტენდერი'!N:N,'[1]ელ. ტენდერი'!G:G,'30.05.2018'!B43,'[1]ელ. ტენდერი'!Q:Q,"სახელმწიფო ბიუჯეტი",'[1]ელ. ტენდერი'!R:R,"3503030702"),0)</f>
        <v>445876.1</v>
      </c>
      <c r="Q43" s="26">
        <f t="shared" si="1"/>
        <v>438043.9</v>
      </c>
    </row>
    <row r="44" spans="1:17" x14ac:dyDescent="0.25">
      <c r="A44" s="17">
        <v>39</v>
      </c>
      <c r="B44" s="81" t="s">
        <v>91</v>
      </c>
      <c r="C44" s="18" t="s">
        <v>25</v>
      </c>
      <c r="D44" s="19">
        <v>3503030702</v>
      </c>
      <c r="E44" s="20" t="s">
        <v>92</v>
      </c>
      <c r="F44" s="37">
        <v>30000</v>
      </c>
      <c r="G44" s="22" t="s">
        <v>27</v>
      </c>
      <c r="H44" s="23">
        <v>43101</v>
      </c>
      <c r="I44" s="23">
        <v>43465</v>
      </c>
      <c r="J44" s="47" t="s">
        <v>39</v>
      </c>
      <c r="K44" s="25">
        <f>IF(G44="გამ. შესყიდვა",SUMIFS('[1]გამარტივებული შესყიდვა'!L:L,'[1]გამარტივებული შესყიდვა'!K:K,B44,'[1]გამარტივებული შესყიდვა'!N:N,"სახელმწიფო ბიუჯეტი",'[1]გამარტივებული შესყიდვა'!O:O,"350106"),0)</f>
        <v>0</v>
      </c>
      <c r="L44" s="25">
        <f>IF(G44="გამ. შესყიდვა",SUMIFS('[1]გამარტივებული შესყიდვა'!L:L,'[1]გამარტივებული შესყიდვა'!K:K,B44,'[1]გამარტივებული შესყიდვა'!N:N,"სახელმწიფო ბიუჯეტი",'[1]გამარტივებული შესყიდვა'!O:O,"3503030702"),0)</f>
        <v>0</v>
      </c>
      <c r="M44" s="25">
        <f>IF(G44="კონს. ტენდერი",SUMIFS('[1]კონსოლიდირებული ტენდერი'!L:L,'[1]კონსოლიდირებული ტენდერი'!E:E,B44,'[1]კონსოლიდირებული ტენდერი'!N:N,"სახელმწიფო ბიუჯეტი",'[1]კონსოლიდირებული ტენდერი'!O:O,"350106"),0)</f>
        <v>0</v>
      </c>
      <c r="N44" s="25">
        <f>IF(G44="კონს. ტენდერი",SUMIFS('[1]კონსოლიდირებული ტენდერი'!L:L,'[1]კონსოლიდირებული ტენდერი'!E:E,B44,'[1]კონსოლიდირებული ტენდერი'!N:N,"სახელმწიფო ბიუჯეტი",'[1]კონსოლიდირებული ტენდერი'!O:O,"3503030702"),0)</f>
        <v>0</v>
      </c>
      <c r="O44" s="25">
        <f>IF(G44="ელ. ტენდერი",SUMIFS('[1]ელ. ტენდერი'!N:N,'[1]ელ. ტენდერი'!G:G,B44,'[1]ელ. ტენდერი'!Q:Q,"სახელმწიფო ბიუჯეტი",'[1]ელ. ტენდერი'!R:R,"350106"),0)</f>
        <v>0</v>
      </c>
      <c r="P44" s="25">
        <f>IF(G44="ელ. ტენდერი",SUMIFS('[1]ელ. ტენდერი'!N:N,'[1]ელ. ტენდერი'!G:G,'30.05.2018'!B44,'[1]ელ. ტენდერი'!Q:Q,"სახელმწიფო ბიუჯეტი",'[1]ელ. ტენდერი'!R:R,"3503030702"),0)</f>
        <v>0</v>
      </c>
      <c r="Q44" s="26">
        <f t="shared" si="1"/>
        <v>30000</v>
      </c>
    </row>
    <row r="45" spans="1:17" x14ac:dyDescent="0.25">
      <c r="A45" s="17">
        <v>40</v>
      </c>
      <c r="B45" s="81" t="s">
        <v>91</v>
      </c>
      <c r="C45" s="18" t="s">
        <v>25</v>
      </c>
      <c r="D45" s="19">
        <v>3503030702</v>
      </c>
      <c r="E45" s="20" t="s">
        <v>92</v>
      </c>
      <c r="F45" s="37">
        <v>1800</v>
      </c>
      <c r="G45" s="22" t="s">
        <v>27</v>
      </c>
      <c r="H45" s="23">
        <v>43227</v>
      </c>
      <c r="I45" s="23">
        <v>43231</v>
      </c>
      <c r="J45" s="47" t="s">
        <v>93</v>
      </c>
      <c r="K45" s="25">
        <f>IF(G45="გამ. შესყიდვა",SUMIFS('[1]გამარტივებული შესყიდვა'!L:L,'[1]გამარტივებული შესყიდვა'!K:K,B45,'[1]გამარტივებული შესყიდვა'!N:N,"სახელმწიფო ბიუჯეტი",'[1]გამარტივებული შესყიდვა'!O:O,"350106"),0)</f>
        <v>0</v>
      </c>
      <c r="L45" s="25">
        <f>IF(G45="გამ. შესყიდვა",SUMIFS('[1]გამარტივებული შესყიდვა'!L:L,'[1]გამარტივებული შესყიდვა'!K:K,B45,'[1]გამარტივებული შესყიდვა'!N:N,"სახელმწიფო ბიუჯეტი",'[1]გამარტივებული შესყიდვა'!O:O,"3503030702"),0)</f>
        <v>0</v>
      </c>
      <c r="M45" s="25">
        <f>IF(G45="კონს. ტენდერი",SUMIFS('[1]კონსოლიდირებული ტენდერი'!L:L,'[1]კონსოლიდირებული ტენდერი'!E:E,B45,'[1]კონსოლიდირებული ტენდერი'!N:N,"სახელმწიფო ბიუჯეტი",'[1]კონსოლიდირებული ტენდერი'!O:O,"350106"),0)</f>
        <v>0</v>
      </c>
      <c r="N45" s="25">
        <f>IF(G45="კონს. ტენდერი",SUMIFS('[1]კონსოლიდირებული ტენდერი'!L:L,'[1]კონსოლიდირებული ტენდერი'!E:E,B45,'[1]კონსოლიდირებული ტენდერი'!N:N,"სახელმწიფო ბიუჯეტი",'[1]კონსოლიდირებული ტენდერი'!O:O,"3503030702"),0)</f>
        <v>0</v>
      </c>
      <c r="O45" s="25">
        <f>IF(G45="ელ. ტენდერი",SUMIFS('[1]ელ. ტენდერი'!N:N,'[1]ელ. ტენდერი'!G:G,B45,'[1]ელ. ტენდერი'!Q:Q,"სახელმწიფო ბიუჯეტი",'[1]ელ. ტენდერი'!R:R,"350106"),0)</f>
        <v>0</v>
      </c>
      <c r="P45" s="25">
        <f>IF(G45="ელ. ტენდერი",SUMIFS('[1]ელ. ტენდერი'!N:N,'[1]ელ. ტენდერი'!G:G,'30.05.2018'!B45,'[1]ელ. ტენდერი'!Q:Q,"სახელმწიფო ბიუჯეტი",'[1]ელ. ტენდერი'!R:R,"3503030702"),0)</f>
        <v>0</v>
      </c>
      <c r="Q45" s="26">
        <f t="shared" si="1"/>
        <v>1800</v>
      </c>
    </row>
    <row r="46" spans="1:17" x14ac:dyDescent="0.25">
      <c r="A46" s="17">
        <v>41</v>
      </c>
      <c r="B46" s="81" t="s">
        <v>94</v>
      </c>
      <c r="C46" s="18" t="s">
        <v>25</v>
      </c>
      <c r="D46" s="19">
        <v>3503030702</v>
      </c>
      <c r="E46" s="20" t="s">
        <v>95</v>
      </c>
      <c r="F46" s="37">
        <v>20000</v>
      </c>
      <c r="G46" s="22" t="s">
        <v>34</v>
      </c>
      <c r="H46" s="23">
        <v>43101</v>
      </c>
      <c r="I46" s="23">
        <v>43465</v>
      </c>
      <c r="J46" s="36"/>
      <c r="K46" s="25">
        <f>IF(G46="გამ. შესყიდვა",SUMIFS('[1]გამარტივებული შესყიდვა'!L:L,'[1]გამარტივებული შესყიდვა'!K:K,B46,'[1]გამარტივებული შესყიდვა'!N:N,"სახელმწიფო ბიუჯეტი",'[1]გამარტივებული შესყიდვა'!O:O,"350106"),0)</f>
        <v>0</v>
      </c>
      <c r="L46" s="25">
        <f>IF(G46="გამ. შესყიდვა",SUMIFS('[1]გამარტივებული შესყიდვა'!L:L,'[1]გამარტივებული შესყიდვა'!K:K,B46,'[1]გამარტივებული შესყიდვა'!N:N,"სახელმწიფო ბიუჯეტი",'[1]გამარტივებული შესყიდვა'!O:O,"3503030702"),0)</f>
        <v>0</v>
      </c>
      <c r="M46" s="25">
        <f>IF(G46="კონს. ტენდერი",SUMIFS('[1]კონსოლიდირებული ტენდერი'!L:L,'[1]კონსოლიდირებული ტენდერი'!E:E,B46,'[1]კონსოლიდირებული ტენდერი'!N:N,"სახელმწიფო ბიუჯეტი",'[1]კონსოლიდირებული ტენდერი'!O:O,"350106"),0)</f>
        <v>0</v>
      </c>
      <c r="N46" s="25">
        <f>IF(G46="კონს. ტენდერი",SUMIFS('[1]კონსოლიდირებული ტენდერი'!L:L,'[1]კონსოლიდირებული ტენდერი'!E:E,B46,'[1]კონსოლიდირებული ტენდერი'!N:N,"სახელმწიფო ბიუჯეტი",'[1]კონსოლიდირებული ტენდერი'!O:O,"3503030702"),0)</f>
        <v>0</v>
      </c>
      <c r="O46" s="25">
        <f>IF(G46="ელ. ტენდერი",SUMIFS('[1]ელ. ტენდერი'!N:N,'[1]ელ. ტენდერი'!G:G,B46,'[1]ელ. ტენდერი'!Q:Q,"სახელმწიფო ბიუჯეტი",'[1]ელ. ტენდერი'!R:R,"350106"),0)</f>
        <v>0</v>
      </c>
      <c r="P46" s="25">
        <f>IF(G46="ელ. ტენდერი",SUMIFS('[1]ელ. ტენდერი'!N:N,'[1]ელ. ტენდერი'!G:G,'30.05.2018'!B46,'[1]ელ. ტენდერი'!Q:Q,"სახელმწიფო ბიუჯეტი",'[1]ელ. ტენდერი'!R:R,"3503030702"),0)</f>
        <v>0</v>
      </c>
      <c r="Q46" s="26">
        <f t="shared" si="1"/>
        <v>20000</v>
      </c>
    </row>
    <row r="47" spans="1:17" x14ac:dyDescent="0.25">
      <c r="A47" s="17">
        <v>42</v>
      </c>
      <c r="B47" s="81" t="s">
        <v>96</v>
      </c>
      <c r="C47" s="18" t="s">
        <v>25</v>
      </c>
      <c r="D47" s="19">
        <v>3503030702</v>
      </c>
      <c r="E47" s="20" t="s">
        <v>97</v>
      </c>
      <c r="F47" s="37">
        <v>450000</v>
      </c>
      <c r="G47" s="22" t="s">
        <v>30</v>
      </c>
      <c r="H47" s="23">
        <v>43101</v>
      </c>
      <c r="I47" s="23">
        <v>43465</v>
      </c>
      <c r="J47" s="36"/>
      <c r="K47" s="25">
        <f>IF(G47="გამ. შესყიდვა",SUMIFS('[1]გამარტივებული შესყიდვა'!L:L,'[1]გამარტივებული შესყიდვა'!K:K,B47,'[1]გამარტივებული შესყიდვა'!N:N,"სახელმწიფო ბიუჯეტი",'[1]გამარტივებული შესყიდვა'!O:O,"350106"),0)</f>
        <v>0</v>
      </c>
      <c r="L47" s="25">
        <f>IF(G47="გამ. შესყიდვა",SUMIFS('[1]გამარტივებული შესყიდვა'!L:L,'[1]გამარტივებული შესყიდვა'!K:K,B47,'[1]გამარტივებული შესყიდვა'!N:N,"სახელმწიფო ბიუჯეტი",'[1]გამარტივებული შესყიდვა'!O:O,"3503030702"),0)</f>
        <v>0</v>
      </c>
      <c r="M47" s="25">
        <f>IF(G47="კონს. ტენდერი",SUMIFS('[1]კონსოლიდირებული ტენდერი'!L:L,'[1]კონსოლიდირებული ტენდერი'!E:E,B47,'[1]კონსოლიდირებული ტენდერი'!N:N,"სახელმწიფო ბიუჯეტი",'[1]კონსოლიდირებული ტენდერი'!O:O,"350106"),0)</f>
        <v>0</v>
      </c>
      <c r="N47" s="25">
        <f>IF(G47="კონს. ტენდერი",SUMIFS('[1]კონსოლიდირებული ტენდერი'!L:L,'[1]კონსოლიდირებული ტენდერი'!E:E,B47,'[1]კონსოლიდირებული ტენდერი'!N:N,"სახელმწიფო ბიუჯეტი",'[1]კონსოლიდირებული ტენდერი'!O:O,"3503030702"),0)</f>
        <v>124068</v>
      </c>
      <c r="O47" s="25">
        <f>IF(G47="ელ. ტენდერი",SUMIFS('[1]ელ. ტენდერი'!N:N,'[1]ელ. ტენდერი'!G:G,B47,'[1]ელ. ტენდერი'!Q:Q,"სახელმწიფო ბიუჯეტი",'[1]ელ. ტენდერი'!R:R,"350106"),0)</f>
        <v>0</v>
      </c>
      <c r="P47" s="25">
        <f>IF(G47="ელ. ტენდერი",SUMIFS('[1]ელ. ტენდერი'!N:N,'[1]ელ. ტენდერი'!G:G,'30.05.2018'!B47,'[1]ელ. ტენდერი'!Q:Q,"სახელმწიფო ბიუჯეტი",'[1]ელ. ტენდერი'!R:R,"3503030702"),0)</f>
        <v>0</v>
      </c>
      <c r="Q47" s="26">
        <f t="shared" si="1"/>
        <v>325932</v>
      </c>
    </row>
    <row r="48" spans="1:17" x14ac:dyDescent="0.25">
      <c r="A48" s="17">
        <v>43</v>
      </c>
      <c r="B48" s="81" t="s">
        <v>96</v>
      </c>
      <c r="C48" s="18" t="s">
        <v>25</v>
      </c>
      <c r="D48" s="19">
        <v>3503030702</v>
      </c>
      <c r="E48" s="20" t="s">
        <v>97</v>
      </c>
      <c r="F48" s="37">
        <v>20000</v>
      </c>
      <c r="G48" s="22" t="s">
        <v>34</v>
      </c>
      <c r="H48" s="23">
        <v>43101</v>
      </c>
      <c r="I48" s="23">
        <v>43465</v>
      </c>
      <c r="J48" s="36"/>
      <c r="K48" s="25">
        <f>IF(G48="გამ. შესყიდვა",SUMIFS('[1]გამარტივებული შესყიდვა'!L:L,'[1]გამარტივებული შესყიდვა'!K:K,B48,'[1]გამარტივებული შესყიდვა'!N:N,"სახელმწიფო ბიუჯეტი",'[1]გამარტივებული შესყიდვა'!O:O,"350106"),0)</f>
        <v>0</v>
      </c>
      <c r="L48" s="25">
        <f>IF(G48="გამ. შესყიდვა",SUMIFS('[1]გამარტივებული შესყიდვა'!L:L,'[1]გამარტივებული შესყიდვა'!K:K,B48,'[1]გამარტივებული შესყიდვა'!N:N,"სახელმწიფო ბიუჯეტი",'[1]გამარტივებული შესყიდვა'!O:O,"3503030702"),0)</f>
        <v>0</v>
      </c>
      <c r="M48" s="25">
        <f>IF(G48="კონს. ტენდერი",SUMIFS('[1]კონსოლიდირებული ტენდერი'!L:L,'[1]კონსოლიდირებული ტენდერი'!E:E,B48,'[1]კონსოლიდირებული ტენდერი'!N:N,"სახელმწიფო ბიუჯეტი",'[1]კონსოლიდირებული ტენდერი'!O:O,"350106"),0)</f>
        <v>0</v>
      </c>
      <c r="N48" s="25">
        <f>IF(G48="კონს. ტენდერი",SUMIFS('[1]კონსოლიდირებული ტენდერი'!L:L,'[1]კონსოლიდირებული ტენდერი'!E:E,B48,'[1]კონსოლიდირებული ტენდერი'!N:N,"სახელმწიფო ბიუჯეტი",'[1]კონსოლიდირებული ტენდერი'!O:O,"3503030702"),0)</f>
        <v>0</v>
      </c>
      <c r="O48" s="25">
        <f>IF(G48="ელ. ტენდერი",SUMIFS('[1]ელ. ტენდერი'!N:N,'[1]ელ. ტენდერი'!G:G,B48,'[1]ელ. ტენდერი'!Q:Q,"სახელმწიფო ბიუჯეტი",'[1]ელ. ტენდერი'!R:R,"350106"),0)</f>
        <v>0</v>
      </c>
      <c r="P48" s="25">
        <f>IF(G48="ელ. ტენდერი",SUMIFS('[1]ელ. ტენდერი'!N:N,'[1]ელ. ტენდერი'!G:G,'30.05.2018'!B48,'[1]ელ. ტენდერი'!Q:Q,"სახელმწიფო ბიუჯეტი",'[1]ელ. ტენდერი'!R:R,"3503030702"),0)</f>
        <v>0</v>
      </c>
      <c r="Q48" s="26">
        <f t="shared" si="1"/>
        <v>20000</v>
      </c>
    </row>
    <row r="49" spans="1:17" x14ac:dyDescent="0.25">
      <c r="A49" s="17">
        <v>44</v>
      </c>
      <c r="B49" s="81" t="s">
        <v>98</v>
      </c>
      <c r="C49" s="18" t="s">
        <v>25</v>
      </c>
      <c r="D49" s="31">
        <v>350106</v>
      </c>
      <c r="E49" s="20" t="s">
        <v>99</v>
      </c>
      <c r="F49" s="37">
        <v>4990</v>
      </c>
      <c r="G49" s="22" t="s">
        <v>27</v>
      </c>
      <c r="H49" s="23">
        <v>43101</v>
      </c>
      <c r="I49" s="23">
        <v>43465</v>
      </c>
      <c r="J49" s="36"/>
      <c r="K49" s="25">
        <f>IF(G49="გამ. შესყიდვა",SUMIFS('[1]გამარტივებული შესყიდვა'!L:L,'[1]გამარტივებული შესყიდვა'!K:K,B49,'[1]გამარტივებული შესყიდვა'!N:N,"სახელმწიფო ბიუჯეტი",'[1]გამარტივებული შესყიდვა'!O:O,"350106"),0)</f>
        <v>259</v>
      </c>
      <c r="L49" s="25">
        <f>IF(G49="გამ. შესყიდვა",SUMIFS('[1]გამარტივებული შესყიდვა'!L:L,'[1]გამარტივებული შესყიდვა'!K:K,B49,'[1]გამარტივებული შესყიდვა'!N:N,"სახელმწიფო ბიუჯეტი",'[1]გამარტივებული შესყიდვა'!O:O,"3503030702"),0)</f>
        <v>0</v>
      </c>
      <c r="M49" s="25">
        <f>IF(G49="კონს. ტენდერი",SUMIFS('[1]კონსოლიდირებული ტენდერი'!L:L,'[1]კონსოლიდირებული ტენდერი'!E:E,B49,'[1]კონსოლიდირებული ტენდერი'!N:N,"სახელმწიფო ბიუჯეტი",'[1]კონსოლიდირებული ტენდერი'!O:O,"350106"),0)</f>
        <v>0</v>
      </c>
      <c r="N49" s="25">
        <f>IF(G49="კონს. ტენდერი",SUMIFS('[1]კონსოლიდირებული ტენდერი'!L:L,'[1]კონსოლიდირებული ტენდერი'!E:E,B49,'[1]კონსოლიდირებული ტენდერი'!N:N,"სახელმწიფო ბიუჯეტი",'[1]კონსოლიდირებული ტენდერი'!O:O,"3503030702"),0)</f>
        <v>0</v>
      </c>
      <c r="O49" s="25">
        <f>IF(G49="ელ. ტენდერი",SUMIFS('[1]ელ. ტენდერი'!N:N,'[1]ელ. ტენდერი'!G:G,B49,'[1]ელ. ტენდერი'!Q:Q,"სახელმწიფო ბიუჯეტი",'[1]ელ. ტენდერი'!R:R,"350106"),0)</f>
        <v>0</v>
      </c>
      <c r="P49" s="25">
        <f>IF(G49="ელ. ტენდერი",SUMIFS('[1]ელ. ტენდერი'!N:N,'[1]ელ. ტენდერი'!G:G,'30.05.2018'!B49,'[1]ელ. ტენდერი'!Q:Q,"სახელმწიფო ბიუჯეტი",'[1]ელ. ტენდერი'!R:R,"3503030702"),0)</f>
        <v>0</v>
      </c>
      <c r="Q49" s="26">
        <f t="shared" si="1"/>
        <v>4731</v>
      </c>
    </row>
    <row r="50" spans="1:17" x14ac:dyDescent="0.25">
      <c r="A50" s="17">
        <v>45</v>
      </c>
      <c r="B50" s="81" t="s">
        <v>100</v>
      </c>
      <c r="C50" s="18" t="s">
        <v>25</v>
      </c>
      <c r="D50" s="31">
        <v>350106</v>
      </c>
      <c r="E50" s="20" t="s">
        <v>101</v>
      </c>
      <c r="F50" s="37">
        <f>4990-1000+495</f>
        <v>4485</v>
      </c>
      <c r="G50" s="22" t="s">
        <v>27</v>
      </c>
      <c r="H50" s="23">
        <v>43101</v>
      </c>
      <c r="I50" s="23">
        <v>43465</v>
      </c>
      <c r="J50" s="39"/>
      <c r="K50" s="25">
        <f>IF(G50="გამ. შესყიდვა",SUMIFS('[1]გამარტივებული შესყიდვა'!L:L,'[1]გამარტივებული შესყიდვა'!K:K,B50,'[1]გამარტივებული შესყიდვა'!N:N,"სახელმწიფო ბიუჯეტი",'[1]გამარტივებული შესყიდვა'!O:O,"350106"),0)</f>
        <v>420</v>
      </c>
      <c r="L50" s="25">
        <f>IF(G50="გამ. შესყიდვა",SUMIFS('[1]გამარტივებული შესყიდვა'!L:L,'[1]გამარტივებული შესყიდვა'!K:K,B50,'[1]გამარტივებული შესყიდვა'!N:N,"სახელმწიფო ბიუჯეტი",'[1]გამარტივებული შესყიდვა'!O:O,"3503030702"),0)</f>
        <v>0</v>
      </c>
      <c r="M50" s="25">
        <f>IF(G50="კონს. ტენდერი",SUMIFS('[1]კონსოლიდირებული ტენდერი'!L:L,'[1]კონსოლიდირებული ტენდერი'!E:E,B50,'[1]კონსოლიდირებული ტენდერი'!N:N,"სახელმწიფო ბიუჯეტი",'[1]კონსოლიდირებული ტენდერი'!O:O,"350106"),0)</f>
        <v>0</v>
      </c>
      <c r="N50" s="25">
        <f>IF(G50="კონს. ტენდერი",SUMIFS('[1]კონსოლიდირებული ტენდერი'!L:L,'[1]კონსოლიდირებული ტენდერი'!E:E,B50,'[1]კონსოლიდირებული ტენდერი'!N:N,"სახელმწიფო ბიუჯეტი",'[1]კონსოლიდირებული ტენდერი'!O:O,"3503030702"),0)</f>
        <v>0</v>
      </c>
      <c r="O50" s="25">
        <f>IF(G50="ელ. ტენდერი",SUMIFS('[1]ელ. ტენდერი'!N:N,'[1]ელ. ტენდერი'!G:G,B50,'[1]ელ. ტენდერი'!Q:Q,"სახელმწიფო ბიუჯეტი",'[1]ელ. ტენდერი'!R:R,"350106"),0)</f>
        <v>0</v>
      </c>
      <c r="P50" s="25">
        <f>IF(G50="ელ. ტენდერი",SUMIFS('[1]ელ. ტენდერი'!N:N,'[1]ელ. ტენდერი'!G:G,'30.05.2018'!B50,'[1]ელ. ტენდერი'!Q:Q,"სახელმწიფო ბიუჯეტი",'[1]ელ. ტენდერი'!R:R,"3503030702"),0)</f>
        <v>0</v>
      </c>
      <c r="Q50" s="26">
        <f t="shared" si="1"/>
        <v>4065</v>
      </c>
    </row>
    <row r="51" spans="1:17" x14ac:dyDescent="0.25">
      <c r="A51" s="17">
        <v>46</v>
      </c>
      <c r="B51" s="81" t="s">
        <v>102</v>
      </c>
      <c r="C51" s="18" t="s">
        <v>25</v>
      </c>
      <c r="D51" s="19">
        <v>3503030702</v>
      </c>
      <c r="E51" s="40" t="s">
        <v>103</v>
      </c>
      <c r="F51" s="37">
        <v>50000</v>
      </c>
      <c r="G51" s="22" t="s">
        <v>34</v>
      </c>
      <c r="H51" s="23">
        <v>43101</v>
      </c>
      <c r="I51" s="23">
        <v>43465</v>
      </c>
      <c r="J51" s="32"/>
      <c r="K51" s="25">
        <f>IF(G51="გამ. შესყიდვა",SUMIFS('[1]გამარტივებული შესყიდვა'!L:L,'[1]გამარტივებული შესყიდვა'!K:K,B51,'[1]გამარტივებული შესყიდვა'!N:N,"სახელმწიფო ბიუჯეტი",'[1]გამარტივებული შესყიდვა'!O:O,"350106"),0)</f>
        <v>0</v>
      </c>
      <c r="L51" s="25">
        <f>IF(G51="გამ. შესყიდვა",SUMIFS('[1]გამარტივებული შესყიდვა'!L:L,'[1]გამარტივებული შესყიდვა'!K:K,B51,'[1]გამარტივებული შესყიდვა'!N:N,"სახელმწიფო ბიუჯეტი",'[1]გამარტივებული შესყიდვა'!O:O,"3503030702"),0)</f>
        <v>0</v>
      </c>
      <c r="M51" s="25">
        <f>IF(G51="კონს. ტენდერი",SUMIFS('[1]კონსოლიდირებული ტენდერი'!L:L,'[1]კონსოლიდირებული ტენდერი'!E:E,B51,'[1]კონსოლიდირებული ტენდერი'!N:N,"სახელმწიფო ბიუჯეტი",'[1]კონსოლიდირებული ტენდერი'!O:O,"350106"),0)</f>
        <v>0</v>
      </c>
      <c r="N51" s="25">
        <f>IF(G51="კონს. ტენდერი",SUMIFS('[1]კონსოლიდირებული ტენდერი'!L:L,'[1]კონსოლიდირებული ტენდერი'!E:E,B51,'[1]კონსოლიდირებული ტენდერი'!N:N,"სახელმწიფო ბიუჯეტი",'[1]კონსოლიდირებული ტენდერი'!O:O,"3503030702"),0)</f>
        <v>0</v>
      </c>
      <c r="O51" s="25">
        <f>IF(G51="ელ. ტენდერი",SUMIFS('[1]ელ. ტენდერი'!N:N,'[1]ელ. ტენდერი'!G:G,B51,'[1]ელ. ტენდერი'!Q:Q,"სახელმწიფო ბიუჯეტი",'[1]ელ. ტენდერი'!R:R,"350106"),0)</f>
        <v>0</v>
      </c>
      <c r="P51" s="25">
        <f>IF(G51="ელ. ტენდერი",SUMIFS('[1]ელ. ტენდერი'!N:N,'[1]ელ. ტენდერი'!G:G,'30.05.2018'!B51,'[1]ელ. ტენდერი'!Q:Q,"სახელმწიფო ბიუჯეტი",'[1]ელ. ტენდერი'!R:R,"3503030702"),0)</f>
        <v>0</v>
      </c>
      <c r="Q51" s="26">
        <f t="shared" si="1"/>
        <v>50000</v>
      </c>
    </row>
    <row r="52" spans="1:17" x14ac:dyDescent="0.25">
      <c r="A52" s="17">
        <v>47</v>
      </c>
      <c r="B52" s="81" t="s">
        <v>104</v>
      </c>
      <c r="C52" s="18" t="s">
        <v>25</v>
      </c>
      <c r="D52" s="19">
        <v>3503030702</v>
      </c>
      <c r="E52" s="20" t="s">
        <v>105</v>
      </c>
      <c r="F52" s="37">
        <v>4990</v>
      </c>
      <c r="G52" s="22" t="s">
        <v>27</v>
      </c>
      <c r="H52" s="23">
        <v>43101</v>
      </c>
      <c r="I52" s="23">
        <v>43465</v>
      </c>
      <c r="J52" s="39"/>
      <c r="K52" s="25">
        <f>IF(G52="გამ. შესყიდვა",SUMIFS('[1]გამარტივებული შესყიდვა'!L:L,'[1]გამარტივებული შესყიდვა'!K:K,B52,'[1]გამარტივებული შესყიდვა'!N:N,"სახელმწიფო ბიუჯეტი",'[1]გამარტივებული შესყიდვა'!O:O,"350106"),0)</f>
        <v>0</v>
      </c>
      <c r="L52" s="25">
        <f>IF(G52="გამ. შესყიდვა",SUMIFS('[1]გამარტივებული შესყიდვა'!L:L,'[1]გამარტივებული შესყიდვა'!K:K,B52,'[1]გამარტივებული შესყიდვა'!N:N,"სახელმწიფო ბიუჯეტი",'[1]გამარტივებული შესყიდვა'!O:O,"3503030702"),0)</f>
        <v>0</v>
      </c>
      <c r="M52" s="25">
        <f>IF(G52="კონს. ტენდერი",SUMIFS('[1]კონსოლიდირებული ტენდერი'!L:L,'[1]კონსოლიდირებული ტენდერი'!E:E,B52,'[1]კონსოლიდირებული ტენდერი'!N:N,"სახელმწიფო ბიუჯეტი",'[1]კონსოლიდირებული ტენდერი'!O:O,"350106"),0)</f>
        <v>0</v>
      </c>
      <c r="N52" s="25">
        <f>IF(G52="კონს. ტენდერი",SUMIFS('[1]კონსოლიდირებული ტენდერი'!L:L,'[1]კონსოლიდირებული ტენდერი'!E:E,B52,'[1]კონსოლიდირებული ტენდერი'!N:N,"სახელმწიფო ბიუჯეტი",'[1]კონსოლიდირებული ტენდერი'!O:O,"3503030702"),0)</f>
        <v>0</v>
      </c>
      <c r="O52" s="25">
        <f>IF(G52="ელ. ტენდერი",SUMIFS('[1]ელ. ტენდერი'!N:N,'[1]ელ. ტენდერი'!G:G,B52,'[1]ელ. ტენდერი'!Q:Q,"სახელმწიფო ბიუჯეტი",'[1]ელ. ტენდერი'!R:R,"350106"),0)</f>
        <v>0</v>
      </c>
      <c r="P52" s="25">
        <f>IF(G52="ელ. ტენდერი",SUMIFS('[1]ელ. ტენდერი'!N:N,'[1]ელ. ტენდერი'!G:G,'30.05.2018'!B52,'[1]ელ. ტენდერი'!Q:Q,"სახელმწიფო ბიუჯეტი",'[1]ელ. ტენდერი'!R:R,"3503030702"),0)</f>
        <v>0</v>
      </c>
      <c r="Q52" s="26">
        <f t="shared" si="1"/>
        <v>4990</v>
      </c>
    </row>
    <row r="53" spans="1:17" x14ac:dyDescent="0.25">
      <c r="A53" s="17">
        <v>48</v>
      </c>
      <c r="B53" s="81" t="s">
        <v>106</v>
      </c>
      <c r="C53" s="18" t="s">
        <v>25</v>
      </c>
      <c r="D53" s="19">
        <v>3503030702</v>
      </c>
      <c r="E53" s="20" t="s">
        <v>107</v>
      </c>
      <c r="F53" s="37">
        <v>4990</v>
      </c>
      <c r="G53" s="22" t="s">
        <v>27</v>
      </c>
      <c r="H53" s="23">
        <v>43101</v>
      </c>
      <c r="I53" s="23">
        <v>43465</v>
      </c>
      <c r="J53" s="39"/>
      <c r="K53" s="25">
        <f>IF(G53="გამ. შესყიდვა",SUMIFS('[1]გამარტივებული შესყიდვა'!L:L,'[1]გამარტივებული შესყიდვა'!K:K,B53,'[1]გამარტივებული შესყიდვა'!N:N,"სახელმწიფო ბიუჯეტი",'[1]გამარტივებული შესყიდვა'!O:O,"350106"),0)</f>
        <v>0</v>
      </c>
      <c r="L53" s="25">
        <f>IF(G53="გამ. შესყიდვა",SUMIFS('[1]გამარტივებული შესყიდვა'!L:L,'[1]გამარტივებული შესყიდვა'!K:K,B53,'[1]გამარტივებული შესყიდვა'!N:N,"სახელმწიფო ბიუჯეტი",'[1]გამარტივებული შესყიდვა'!O:O,"3503030702"),0)</f>
        <v>0</v>
      </c>
      <c r="M53" s="25">
        <f>IF(G53="კონს. ტენდერი",SUMIFS('[1]კონსოლიდირებული ტენდერი'!L:L,'[1]კონსოლიდირებული ტენდერი'!E:E,B53,'[1]კონსოლიდირებული ტენდერი'!N:N,"სახელმწიფო ბიუჯეტი",'[1]კონსოლიდირებული ტენდერი'!O:O,"350106"),0)</f>
        <v>0</v>
      </c>
      <c r="N53" s="25">
        <f>IF(G53="კონს. ტენდერი",SUMIFS('[1]კონსოლიდირებული ტენდერი'!L:L,'[1]კონსოლიდირებული ტენდერი'!E:E,B53,'[1]კონსოლიდირებული ტენდერი'!N:N,"სახელმწიფო ბიუჯეტი",'[1]კონსოლიდირებული ტენდერი'!O:O,"3503030702"),0)</f>
        <v>0</v>
      </c>
      <c r="O53" s="25">
        <f>IF(G53="ელ. ტენდერი",SUMIFS('[1]ელ. ტენდერი'!N:N,'[1]ელ. ტენდერი'!G:G,B53,'[1]ელ. ტენდერი'!Q:Q,"სახელმწიფო ბიუჯეტი",'[1]ელ. ტენდერი'!R:R,"350106"),0)</f>
        <v>0</v>
      </c>
      <c r="P53" s="25">
        <f>IF(G53="ელ. ტენდერი",SUMIFS('[1]ელ. ტენდერი'!N:N,'[1]ელ. ტენდერი'!G:G,'30.05.2018'!B53,'[1]ელ. ტენდერი'!Q:Q,"სახელმწიფო ბიუჯეტი",'[1]ელ. ტენდერი'!R:R,"3503030702"),0)</f>
        <v>0</v>
      </c>
      <c r="Q53" s="26">
        <f t="shared" si="1"/>
        <v>4990</v>
      </c>
    </row>
    <row r="54" spans="1:17" x14ac:dyDescent="0.25">
      <c r="A54" s="17">
        <v>49</v>
      </c>
      <c r="B54" s="81" t="s">
        <v>108</v>
      </c>
      <c r="C54" s="35" t="s">
        <v>67</v>
      </c>
      <c r="D54" s="19">
        <v>3503030702</v>
      </c>
      <c r="E54" s="20" t="s">
        <v>109</v>
      </c>
      <c r="F54" s="37">
        <v>4990</v>
      </c>
      <c r="G54" s="22" t="s">
        <v>27</v>
      </c>
      <c r="H54" s="23">
        <v>43101</v>
      </c>
      <c r="I54" s="23">
        <v>43465</v>
      </c>
      <c r="J54" s="39"/>
      <c r="K54" s="25">
        <f>IF(G54="გამ. შესყიდვა",SUMIFS('[1]გამარტივებული შესყიდვა'!L:L,'[1]გამარტივებული შესყიდვა'!K:K,B54,'[1]გამარტივებული შესყიდვა'!N:N,"სახელმწიფო ბიუჯეტი",'[1]გამარტივებული შესყიდვა'!O:O,"350106"),0)</f>
        <v>0</v>
      </c>
      <c r="L54" s="25">
        <f>IF(G54="გამ. შესყიდვა",SUMIFS('[1]გამარტივებული შესყიდვა'!L:L,'[1]გამარტივებული შესყიდვა'!K:K,B54,'[1]გამარტივებული შესყიდვა'!N:N,"სახელმწიფო ბიუჯეტი",'[1]გამარტივებული შესყიდვა'!O:O,"3503030702"),0)</f>
        <v>0</v>
      </c>
      <c r="M54" s="25">
        <f>IF(G54="კონს. ტენდერი",SUMIFS('[1]კონსოლიდირებული ტენდერი'!L:L,'[1]კონსოლიდირებული ტენდერი'!E:E,B54,'[1]კონსოლიდირებული ტენდერი'!N:N,"სახელმწიფო ბიუჯეტი",'[1]კონსოლიდირებული ტენდერი'!O:O,"350106"),0)</f>
        <v>0</v>
      </c>
      <c r="N54" s="25">
        <f>IF(G54="კონს. ტენდერი",SUMIFS('[1]კონსოლიდირებული ტენდერი'!L:L,'[1]კონსოლიდირებული ტენდერი'!E:E,B54,'[1]კონსოლიდირებული ტენდერი'!N:N,"სახელმწიფო ბიუჯეტი",'[1]კონსოლიდირებული ტენდერი'!O:O,"3503030702"),0)</f>
        <v>0</v>
      </c>
      <c r="O54" s="25">
        <f>IF(G54="ელ. ტენდერი",SUMIFS('[1]ელ. ტენდერი'!N:N,'[1]ელ. ტენდერი'!G:G,B54,'[1]ელ. ტენდერი'!Q:Q,"სახელმწიფო ბიუჯეტი",'[1]ელ. ტენდერი'!R:R,"350106"),0)</f>
        <v>0</v>
      </c>
      <c r="P54" s="25">
        <f>IF(G54="ელ. ტენდერი",SUMIFS('[1]ელ. ტენდერი'!N:N,'[1]ელ. ტენდერი'!G:G,'30.05.2018'!B54,'[1]ელ. ტენდერი'!Q:Q,"სახელმწიფო ბიუჯეტი",'[1]ელ. ტენდერი'!R:R,"3503030702"),0)</f>
        <v>0</v>
      </c>
      <c r="Q54" s="26">
        <f t="shared" si="1"/>
        <v>4990</v>
      </c>
    </row>
    <row r="55" spans="1:17" x14ac:dyDescent="0.25">
      <c r="A55" s="17">
        <v>50</v>
      </c>
      <c r="B55" s="81" t="s">
        <v>110</v>
      </c>
      <c r="C55" s="18" t="s">
        <v>25</v>
      </c>
      <c r="D55" s="19">
        <v>3503030702</v>
      </c>
      <c r="E55" s="20" t="s">
        <v>111</v>
      </c>
      <c r="F55" s="21">
        <v>65000</v>
      </c>
      <c r="G55" s="22" t="s">
        <v>34</v>
      </c>
      <c r="H55" s="23">
        <v>43101</v>
      </c>
      <c r="I55" s="23">
        <v>43465</v>
      </c>
      <c r="J55" s="28"/>
      <c r="K55" s="25">
        <f>IF(G55="გამ. შესყიდვა",SUMIFS('[1]გამარტივებული შესყიდვა'!L:L,'[1]გამარტივებული შესყიდვა'!K:K,B55,'[1]გამარტივებული შესყიდვა'!N:N,"სახელმწიფო ბიუჯეტი",'[1]გამარტივებული შესყიდვა'!O:O,"350106"),0)</f>
        <v>0</v>
      </c>
      <c r="L55" s="25">
        <f>IF(G55="გამ. შესყიდვა",SUMIFS('[1]გამარტივებული შესყიდვა'!L:L,'[1]გამარტივებული შესყიდვა'!K:K,B55,'[1]გამარტივებული შესყიდვა'!N:N,"სახელმწიფო ბიუჯეტი",'[1]გამარტივებული შესყიდვა'!O:O,"3503030702"),0)</f>
        <v>0</v>
      </c>
      <c r="M55" s="25">
        <f>IF(G55="კონს. ტენდერი",SUMIFS('[1]კონსოლიდირებული ტენდერი'!L:L,'[1]კონსოლიდირებული ტენდერი'!E:E,B55,'[1]კონსოლიდირებული ტენდერი'!N:N,"სახელმწიფო ბიუჯეტი",'[1]კონსოლიდირებული ტენდერი'!O:O,"350106"),0)</f>
        <v>0</v>
      </c>
      <c r="N55" s="25">
        <f>IF(G55="კონს. ტენდერი",SUMIFS('[1]კონსოლიდირებული ტენდერი'!L:L,'[1]კონსოლიდირებული ტენდერი'!E:E,B55,'[1]კონსოლიდირებული ტენდერი'!N:N,"სახელმწიფო ბიუჯეტი",'[1]კონსოლიდირებული ტენდერი'!O:O,"3503030702"),0)</f>
        <v>0</v>
      </c>
      <c r="O55" s="25">
        <f>IF(G55="ელ. ტენდერი",SUMIFS('[1]ელ. ტენდერი'!N:N,'[1]ელ. ტენდერი'!G:G,B55,'[1]ელ. ტენდერი'!Q:Q,"სახელმწიფო ბიუჯეტი",'[1]ელ. ტენდერი'!R:R,"350106"),0)</f>
        <v>0</v>
      </c>
      <c r="P55" s="25">
        <f>IF(G55="ელ. ტენდერი",SUMIFS('[1]ელ. ტენდერი'!N:N,'[1]ელ. ტენდერი'!G:G,'30.05.2018'!B55,'[1]ელ. ტენდერი'!Q:Q,"სახელმწიფო ბიუჯეტი",'[1]ელ. ტენდერი'!R:R,"3503030702"),0)</f>
        <v>0</v>
      </c>
      <c r="Q55" s="26">
        <f t="shared" si="1"/>
        <v>65000</v>
      </c>
    </row>
    <row r="56" spans="1:17" x14ac:dyDescent="0.25">
      <c r="A56" s="17">
        <v>51</v>
      </c>
      <c r="B56" s="81" t="s">
        <v>110</v>
      </c>
      <c r="C56" s="18" t="s">
        <v>25</v>
      </c>
      <c r="D56" s="19">
        <v>350106</v>
      </c>
      <c r="E56" s="20" t="s">
        <v>111</v>
      </c>
      <c r="F56" s="21">
        <v>15000</v>
      </c>
      <c r="G56" s="22" t="s">
        <v>34</v>
      </c>
      <c r="H56" s="23">
        <v>43101</v>
      </c>
      <c r="I56" s="23">
        <v>43465</v>
      </c>
      <c r="J56" s="28"/>
      <c r="K56" s="25">
        <f>IF(G56="გამ. შესყიდვა",SUMIFS('[1]გამარტივებული შესყიდვა'!L:L,'[1]გამარტივებული შესყიდვა'!K:K,B56,'[1]გამარტივებული შესყიდვა'!N:N,"სახელმწიფო ბიუჯეტი",'[1]გამარტივებული შესყიდვა'!O:O,"350106"),0)</f>
        <v>0</v>
      </c>
      <c r="L56" s="25">
        <f>IF(G56="გამ. შესყიდვა",SUMIFS('[1]გამარტივებული შესყიდვა'!L:L,'[1]გამარტივებული შესყიდვა'!K:K,B56,'[1]გამარტივებული შესყიდვა'!N:N,"სახელმწიფო ბიუჯეტი",'[1]გამარტივებული შესყიდვა'!O:O,"3503030702"),0)</f>
        <v>0</v>
      </c>
      <c r="M56" s="25">
        <f>IF(G56="კონს. ტენდერი",SUMIFS('[1]კონსოლიდირებული ტენდერი'!L:L,'[1]კონსოლიდირებული ტენდერი'!E:E,B56,'[1]კონსოლიდირებული ტენდერი'!N:N,"სახელმწიფო ბიუჯეტი",'[1]კონსოლიდირებული ტენდერი'!O:O,"350106"),0)</f>
        <v>0</v>
      </c>
      <c r="N56" s="25">
        <f>IF(G56="კონს. ტენდერი",SUMIFS('[1]კონსოლიდირებული ტენდერი'!L:L,'[1]კონსოლიდირებული ტენდერი'!E:E,B56,'[1]კონსოლიდირებული ტენდერი'!N:N,"სახელმწიფო ბიუჯეტი",'[1]კონსოლიდირებული ტენდერი'!O:O,"3503030702"),0)</f>
        <v>0</v>
      </c>
      <c r="O56" s="25">
        <f>IF(G56="ელ. ტენდერი",SUMIFS('[1]ელ. ტენდერი'!N:N,'[1]ელ. ტენდერი'!G:G,B56,'[1]ელ. ტენდერი'!Q:Q,"სახელმწიფო ბიუჯეტი",'[1]ელ. ტენდერი'!R:R,"350106"),0)</f>
        <v>0</v>
      </c>
      <c r="P56" s="25">
        <f>IF(G56="ელ. ტენდერი",SUMIFS('[1]ელ. ტენდერი'!N:N,'[1]ელ. ტენდერი'!G:G,'30.05.2018'!B56,'[1]ელ. ტენდერი'!Q:Q,"სახელმწიფო ბიუჯეტი",'[1]ელ. ტენდერი'!R:R,"3503030702"),0)</f>
        <v>0</v>
      </c>
      <c r="Q56" s="26">
        <f t="shared" si="1"/>
        <v>15000</v>
      </c>
    </row>
    <row r="57" spans="1:17" x14ac:dyDescent="0.25">
      <c r="A57" s="17">
        <v>52</v>
      </c>
      <c r="B57" s="81" t="s">
        <v>112</v>
      </c>
      <c r="C57" s="18" t="s">
        <v>25</v>
      </c>
      <c r="D57" s="19">
        <v>3503030702</v>
      </c>
      <c r="E57" s="20" t="s">
        <v>113</v>
      </c>
      <c r="F57" s="21">
        <v>8000</v>
      </c>
      <c r="G57" s="22" t="s">
        <v>34</v>
      </c>
      <c r="H57" s="23">
        <v>43101</v>
      </c>
      <c r="I57" s="23">
        <v>43465</v>
      </c>
      <c r="J57" s="41"/>
      <c r="K57" s="25">
        <f>IF(G57="გამ. შესყიდვა",SUMIFS('[1]გამარტივებული შესყიდვა'!L:L,'[1]გამარტივებული შესყიდვა'!K:K,B57,'[1]გამარტივებული შესყიდვა'!N:N,"სახელმწიფო ბიუჯეტი",'[1]გამარტივებული შესყიდვა'!O:O,"350106"),0)</f>
        <v>0</v>
      </c>
      <c r="L57" s="25">
        <f>IF(G57="გამ. შესყიდვა",SUMIFS('[1]გამარტივებული შესყიდვა'!L:L,'[1]გამარტივებული შესყიდვა'!K:K,B57,'[1]გამარტივებული შესყიდვა'!N:N,"სახელმწიფო ბიუჯეტი",'[1]გამარტივებული შესყიდვა'!O:O,"3503030702"),0)</f>
        <v>0</v>
      </c>
      <c r="M57" s="25">
        <f>IF(G57="კონს. ტენდერი",SUMIFS('[1]კონსოლიდირებული ტენდერი'!L:L,'[1]კონსოლიდირებული ტენდერი'!E:E,B57,'[1]კონსოლიდირებული ტენდერი'!N:N,"სახელმწიფო ბიუჯეტი",'[1]კონსოლიდირებული ტენდერი'!O:O,"350106"),0)</f>
        <v>0</v>
      </c>
      <c r="N57" s="25">
        <f>IF(G57="კონს. ტენდერი",SUMIFS('[1]კონსოლიდირებული ტენდერი'!L:L,'[1]კონსოლიდირებული ტენდერი'!E:E,B57,'[1]კონსოლიდირებული ტენდერი'!N:N,"სახელმწიფო ბიუჯეტი",'[1]კონსოლიდირებული ტენდერი'!O:O,"3503030702"),0)</f>
        <v>0</v>
      </c>
      <c r="O57" s="25">
        <f>IF(G57="ელ. ტენდერი",SUMIFS('[1]ელ. ტენდერი'!N:N,'[1]ელ. ტენდერი'!G:G,B57,'[1]ელ. ტენდერი'!Q:Q,"სახელმწიფო ბიუჯეტი",'[1]ელ. ტენდერი'!R:R,"350106"),0)</f>
        <v>0</v>
      </c>
      <c r="P57" s="25">
        <f>IF(G57="ელ. ტენდერი",SUMIFS('[1]ელ. ტენდერი'!N:N,'[1]ელ. ტენდერი'!G:G,'30.05.2018'!B57,'[1]ელ. ტენდერი'!Q:Q,"სახელმწიფო ბიუჯეტი",'[1]ელ. ტენდერი'!R:R,"3503030702"),0)</f>
        <v>0</v>
      </c>
      <c r="Q57" s="26">
        <f t="shared" si="1"/>
        <v>8000</v>
      </c>
    </row>
    <row r="58" spans="1:17" x14ac:dyDescent="0.25">
      <c r="A58" s="17">
        <v>53</v>
      </c>
      <c r="B58" s="81" t="s">
        <v>114</v>
      </c>
      <c r="C58" s="18" t="s">
        <v>25</v>
      </c>
      <c r="D58" s="19">
        <v>3503030702</v>
      </c>
      <c r="E58" s="20" t="s">
        <v>115</v>
      </c>
      <c r="F58" s="21">
        <v>4490</v>
      </c>
      <c r="G58" s="42" t="s">
        <v>27</v>
      </c>
      <c r="H58" s="23">
        <v>43101</v>
      </c>
      <c r="I58" s="23">
        <v>43465</v>
      </c>
      <c r="J58" s="28"/>
      <c r="K58" s="25">
        <f>IF(G58="გამ. შესყიდვა",SUMIFS('[1]გამარტივებული შესყიდვა'!L:L,'[1]გამარტივებული შესყიდვა'!K:K,B58,'[1]გამარტივებული შესყიდვა'!N:N,"სახელმწიფო ბიუჯეტი",'[1]გამარტივებული შესყიდვა'!O:O,"350106"),0)</f>
        <v>0</v>
      </c>
      <c r="L58" s="25">
        <f>IF(G58="გამ. შესყიდვა",SUMIFS('[1]გამარტივებული შესყიდვა'!L:L,'[1]გამარტივებული შესყიდვა'!K:K,B58,'[1]გამარტივებული შესყიდვა'!N:N,"სახელმწიფო ბიუჯეტი",'[1]გამარტივებული შესყიდვა'!O:O,"3503030702"),0)</f>
        <v>0</v>
      </c>
      <c r="M58" s="25">
        <f>IF(G58="კონს. ტენდერი",SUMIFS('[1]კონსოლიდირებული ტენდერი'!L:L,'[1]კონსოლიდირებული ტენდერი'!E:E,B58,'[1]კონსოლიდირებული ტენდერი'!N:N,"სახელმწიფო ბიუჯეტი",'[1]კონსოლიდირებული ტენდერი'!O:O,"350106"),0)</f>
        <v>0</v>
      </c>
      <c r="N58" s="25">
        <f>IF(G58="კონს. ტენდერი",SUMIFS('[1]კონსოლიდირებული ტენდერი'!L:L,'[1]კონსოლიდირებული ტენდერი'!E:E,B58,'[1]კონსოლიდირებული ტენდერი'!N:N,"სახელმწიფო ბიუჯეტი",'[1]კონსოლიდირებული ტენდერი'!O:O,"3503030702"),0)</f>
        <v>0</v>
      </c>
      <c r="O58" s="25">
        <f>IF(G58="ელ. ტენდერი",SUMIFS('[1]ელ. ტენდერი'!N:N,'[1]ელ. ტენდერი'!G:G,B58,'[1]ელ. ტენდერი'!Q:Q,"სახელმწიფო ბიუჯეტი",'[1]ელ. ტენდერი'!R:R,"350106"),0)</f>
        <v>0</v>
      </c>
      <c r="P58" s="25">
        <f>IF(G58="ელ. ტენდერი",SUMIFS('[1]ელ. ტენდერი'!N:N,'[1]ელ. ტენდერი'!G:G,'30.05.2018'!B58,'[1]ელ. ტენდერი'!Q:Q,"სახელმწიფო ბიუჯეტი",'[1]ელ. ტენდერი'!R:R,"3503030702"),0)</f>
        <v>0</v>
      </c>
      <c r="Q58" s="26">
        <f t="shared" si="1"/>
        <v>4490</v>
      </c>
    </row>
    <row r="59" spans="1:17" x14ac:dyDescent="0.25">
      <c r="A59" s="17">
        <v>54</v>
      </c>
      <c r="B59" s="81" t="s">
        <v>114</v>
      </c>
      <c r="C59" s="18" t="s">
        <v>25</v>
      </c>
      <c r="D59" s="19">
        <v>350106</v>
      </c>
      <c r="E59" s="20" t="s">
        <v>115</v>
      </c>
      <c r="F59" s="21">
        <v>500</v>
      </c>
      <c r="G59" s="42" t="s">
        <v>27</v>
      </c>
      <c r="H59" s="23">
        <v>43101</v>
      </c>
      <c r="I59" s="23">
        <v>43465</v>
      </c>
      <c r="J59" s="28"/>
      <c r="K59" s="25">
        <f>IF(G59="გამ. შესყიდვა",SUMIFS('[1]გამარტივებული შესყიდვა'!L:L,'[1]გამარტივებული შესყიდვა'!K:K,B59,'[1]გამარტივებული შესყიდვა'!N:N,"სახელმწიფო ბიუჯეტი",'[1]გამარტივებული შესყიდვა'!O:O,"350106"),0)</f>
        <v>0</v>
      </c>
      <c r="L59" s="25">
        <f>IF(G59="გამ. შესყიდვა",SUMIFS('[1]გამარტივებული შესყიდვა'!L:L,'[1]გამარტივებული შესყიდვა'!K:K,B59,'[1]გამარტივებული შესყიდვა'!N:N,"სახელმწიფო ბიუჯეტი",'[1]გამარტივებული შესყიდვა'!O:O,"3503030702"),0)</f>
        <v>0</v>
      </c>
      <c r="M59" s="25">
        <f>IF(G59="კონს. ტენდერი",SUMIFS('[1]კონსოლიდირებული ტენდერი'!L:L,'[1]კონსოლიდირებული ტენდერი'!E:E,B59,'[1]კონსოლიდირებული ტენდერი'!N:N,"სახელმწიფო ბიუჯეტი",'[1]კონსოლიდირებული ტენდერი'!O:O,"350106"),0)</f>
        <v>0</v>
      </c>
      <c r="N59" s="25">
        <f>IF(G59="კონს. ტენდერი",SUMIFS('[1]კონსოლიდირებული ტენდერი'!L:L,'[1]კონსოლიდირებული ტენდერი'!E:E,B59,'[1]კონსოლიდირებული ტენდერი'!N:N,"სახელმწიფო ბიუჯეტი",'[1]კონსოლიდირებული ტენდერი'!O:O,"3503030702"),0)</f>
        <v>0</v>
      </c>
      <c r="O59" s="25">
        <f>IF(G59="ელ. ტენდერი",SUMIFS('[1]ელ. ტენდერი'!N:N,'[1]ელ. ტენდერი'!G:G,B59,'[1]ელ. ტენდერი'!Q:Q,"სახელმწიფო ბიუჯეტი",'[1]ელ. ტენდერი'!R:R,"350106"),0)</f>
        <v>0</v>
      </c>
      <c r="P59" s="25">
        <f>IF(G59="ელ. ტენდერი",SUMIFS('[1]ელ. ტენდერი'!N:N,'[1]ელ. ტენდერი'!G:G,'30.05.2018'!B59,'[1]ელ. ტენდერი'!Q:Q,"სახელმწიფო ბიუჯეტი",'[1]ელ. ტენდერი'!R:R,"3503030702"),0)</f>
        <v>0</v>
      </c>
      <c r="Q59" s="26">
        <f t="shared" si="1"/>
        <v>500</v>
      </c>
    </row>
    <row r="60" spans="1:17" x14ac:dyDescent="0.25">
      <c r="A60" s="17">
        <v>55</v>
      </c>
      <c r="B60" s="81" t="s">
        <v>116</v>
      </c>
      <c r="C60" s="18" t="s">
        <v>25</v>
      </c>
      <c r="D60" s="19">
        <v>3503030702</v>
      </c>
      <c r="E60" s="20" t="s">
        <v>117</v>
      </c>
      <c r="F60" s="21">
        <v>4990</v>
      </c>
      <c r="G60" s="22" t="s">
        <v>27</v>
      </c>
      <c r="H60" s="23">
        <v>43101</v>
      </c>
      <c r="I60" s="23">
        <v>43465</v>
      </c>
      <c r="J60" s="28"/>
      <c r="K60" s="25">
        <f>IF(G60="გამ. შესყიდვა",SUMIFS('[1]გამარტივებული შესყიდვა'!L:L,'[1]გამარტივებული შესყიდვა'!K:K,B60,'[1]გამარტივებული შესყიდვა'!N:N,"სახელმწიფო ბიუჯეტი",'[1]გამარტივებული შესყიდვა'!O:O,"350106"),0)</f>
        <v>0</v>
      </c>
      <c r="L60" s="25">
        <f>IF(G60="გამ. შესყიდვა",SUMIFS('[1]გამარტივებული შესყიდვა'!L:L,'[1]გამარტივებული შესყიდვა'!K:K,B60,'[1]გამარტივებული შესყიდვა'!N:N,"სახელმწიფო ბიუჯეტი",'[1]გამარტივებული შესყიდვა'!O:O,"3503030702"),0)</f>
        <v>0</v>
      </c>
      <c r="M60" s="25">
        <f>IF(G60="კონს. ტენდერი",SUMIFS('[1]კონსოლიდირებული ტენდერი'!L:L,'[1]კონსოლიდირებული ტენდერი'!E:E,B60,'[1]კონსოლიდირებული ტენდერი'!N:N,"სახელმწიფო ბიუჯეტი",'[1]კონსოლიდირებული ტენდერი'!O:O,"350106"),0)</f>
        <v>0</v>
      </c>
      <c r="N60" s="25">
        <f>IF(G60="კონს. ტენდერი",SUMIFS('[1]კონსოლიდირებული ტენდერი'!L:L,'[1]კონსოლიდირებული ტენდერი'!E:E,B60,'[1]კონსოლიდირებული ტენდერი'!N:N,"სახელმწიფო ბიუჯეტი",'[1]კონსოლიდირებული ტენდერი'!O:O,"3503030702"),0)</f>
        <v>0</v>
      </c>
      <c r="O60" s="25">
        <f>IF(G60="ელ. ტენდერი",SUMIFS('[1]ელ. ტენდერი'!N:N,'[1]ელ. ტენდერი'!G:G,B60,'[1]ელ. ტენდერი'!Q:Q,"სახელმწიფო ბიუჯეტი",'[1]ელ. ტენდერი'!R:R,"350106"),0)</f>
        <v>0</v>
      </c>
      <c r="P60" s="25">
        <f>IF(G60="ელ. ტენდერი",SUMIFS('[1]ელ. ტენდერი'!N:N,'[1]ელ. ტენდერი'!G:G,'30.05.2018'!B60,'[1]ელ. ტენდერი'!Q:Q,"სახელმწიფო ბიუჯეტი",'[1]ელ. ტენდერი'!R:R,"3503030702"),0)</f>
        <v>0</v>
      </c>
      <c r="Q60" s="26">
        <f t="shared" si="1"/>
        <v>4990</v>
      </c>
    </row>
    <row r="61" spans="1:17" x14ac:dyDescent="0.25">
      <c r="A61" s="17">
        <v>56</v>
      </c>
      <c r="B61" s="81" t="s">
        <v>118</v>
      </c>
      <c r="C61" s="18" t="s">
        <v>25</v>
      </c>
      <c r="D61" s="19">
        <v>3503030702</v>
      </c>
      <c r="E61" s="20" t="s">
        <v>119</v>
      </c>
      <c r="F61" s="21">
        <v>35000</v>
      </c>
      <c r="G61" s="22" t="s">
        <v>34</v>
      </c>
      <c r="H61" s="23">
        <v>43101</v>
      </c>
      <c r="I61" s="23">
        <v>43465</v>
      </c>
      <c r="J61" s="36" t="s">
        <v>120</v>
      </c>
      <c r="K61" s="25">
        <f>IF(G61="გამ. შესყიდვა",SUMIFS('[1]გამარტივებული შესყიდვა'!L:L,'[1]გამარტივებული შესყიდვა'!K:K,B61,'[1]გამარტივებული შესყიდვა'!N:N,"სახელმწიფო ბიუჯეტი",'[1]გამარტივებული შესყიდვა'!O:O,"350106"),0)</f>
        <v>0</v>
      </c>
      <c r="L61" s="25">
        <f>IF(G61="გამ. შესყიდვა",SUMIFS('[1]გამარტივებული შესყიდვა'!L:L,'[1]გამარტივებული შესყიდვა'!K:K,B61,'[1]გამარტივებული შესყიდვა'!N:N,"სახელმწიფო ბიუჯეტი",'[1]გამარტივებული შესყიდვა'!O:O,"3503030702"),0)</f>
        <v>0</v>
      </c>
      <c r="M61" s="25">
        <f>IF(G61="კონს. ტენდერი",SUMIFS('[1]კონსოლიდირებული ტენდერი'!L:L,'[1]კონსოლიდირებული ტენდერი'!E:E,B61,'[1]კონსოლიდირებული ტენდერი'!N:N,"სახელმწიფო ბიუჯეტი",'[1]კონსოლიდირებული ტენდერი'!O:O,"350106"),0)</f>
        <v>0</v>
      </c>
      <c r="N61" s="25">
        <f>IF(G61="კონს. ტენდერი",SUMIFS('[1]კონსოლიდირებული ტენდერი'!L:L,'[1]კონსოლიდირებული ტენდერი'!E:E,B61,'[1]კონსოლიდირებული ტენდერი'!N:N,"სახელმწიფო ბიუჯეტი",'[1]კონსოლიდირებული ტენდერი'!O:O,"3503030702"),0)</f>
        <v>0</v>
      </c>
      <c r="O61" s="25">
        <f>IF(G61="ელ. ტენდერი",SUMIFS('[1]ელ. ტენდერი'!N:N,'[1]ელ. ტენდერი'!G:G,B61,'[1]ელ. ტენდერი'!Q:Q,"სახელმწიფო ბიუჯეტი",'[1]ელ. ტენდერი'!R:R,"350106"),0)</f>
        <v>0</v>
      </c>
      <c r="P61" s="25">
        <f>IF(G61="ელ. ტენდერი",SUMIFS('[1]ელ. ტენდერი'!N:N,'[1]ელ. ტენდერი'!G:G,'30.05.2018'!B61,'[1]ელ. ტენდერი'!Q:Q,"სახელმწიფო ბიუჯეტი",'[1]ელ. ტენდერი'!R:R,"3503030702"),0)</f>
        <v>15595</v>
      </c>
      <c r="Q61" s="26">
        <f t="shared" si="1"/>
        <v>19405</v>
      </c>
    </row>
    <row r="62" spans="1:17" x14ac:dyDescent="0.25">
      <c r="A62" s="17">
        <v>57</v>
      </c>
      <c r="B62" s="81" t="s">
        <v>121</v>
      </c>
      <c r="C62" s="18" t="s">
        <v>25</v>
      </c>
      <c r="D62" s="31">
        <v>350106</v>
      </c>
      <c r="E62" s="20" t="s">
        <v>122</v>
      </c>
      <c r="F62" s="21">
        <v>4990</v>
      </c>
      <c r="G62" s="42" t="s">
        <v>27</v>
      </c>
      <c r="H62" s="23">
        <v>43101</v>
      </c>
      <c r="I62" s="23">
        <v>43465</v>
      </c>
      <c r="J62" s="36"/>
      <c r="K62" s="25">
        <f>IF(G62="გამ. შესყიდვა",SUMIFS('[1]გამარტივებული შესყიდვა'!L:L,'[1]გამარტივებული შესყიდვა'!K:K,B62,'[1]გამარტივებული შესყიდვა'!N:N,"სახელმწიფო ბიუჯეტი",'[1]გამარტივებული შესყიდვა'!O:O,"350106"),0)</f>
        <v>0</v>
      </c>
      <c r="L62" s="25">
        <f>IF(G62="გამ. შესყიდვა",SUMIFS('[1]გამარტივებული შესყიდვა'!L:L,'[1]გამარტივებული შესყიდვა'!K:K,B62,'[1]გამარტივებული შესყიდვა'!N:N,"სახელმწიფო ბიუჯეტი",'[1]გამარტივებული შესყიდვა'!O:O,"3503030702"),0)</f>
        <v>0</v>
      </c>
      <c r="M62" s="25">
        <f>IF(G62="კონს. ტენდერი",SUMIFS('[1]კონსოლიდირებული ტენდერი'!L:L,'[1]კონსოლიდირებული ტენდერი'!E:E,B62,'[1]კონსოლიდირებული ტენდერი'!N:N,"სახელმწიფო ბიუჯეტი",'[1]კონსოლიდირებული ტენდერი'!O:O,"350106"),0)</f>
        <v>0</v>
      </c>
      <c r="N62" s="25">
        <f>IF(G62="კონს. ტენდერი",SUMIFS('[1]კონსოლიდირებული ტენდერი'!L:L,'[1]კონსოლიდირებული ტენდერი'!E:E,B62,'[1]კონსოლიდირებული ტენდერი'!N:N,"სახელმწიფო ბიუჯეტი",'[1]კონსოლიდირებული ტენდერი'!O:O,"3503030702"),0)</f>
        <v>0</v>
      </c>
      <c r="O62" s="25">
        <f>IF(G62="ელ. ტენდერი",SUMIFS('[1]ელ. ტენდერი'!N:N,'[1]ელ. ტენდერი'!G:G,B62,'[1]ელ. ტენდერი'!Q:Q,"სახელმწიფო ბიუჯეტი",'[1]ელ. ტენდერი'!R:R,"350106"),0)</f>
        <v>0</v>
      </c>
      <c r="P62" s="25">
        <f>IF(G62="ელ. ტენდერი",SUMIFS('[1]ელ. ტენდერი'!N:N,'[1]ელ. ტენდერი'!G:G,'30.05.2018'!B62,'[1]ელ. ტენდერი'!Q:Q,"სახელმწიფო ბიუჯეტი",'[1]ელ. ტენდერი'!R:R,"3503030702"),0)</f>
        <v>0</v>
      </c>
      <c r="Q62" s="26">
        <f t="shared" si="1"/>
        <v>4990</v>
      </c>
    </row>
    <row r="63" spans="1:17" x14ac:dyDescent="0.25">
      <c r="A63" s="17">
        <v>58</v>
      </c>
      <c r="B63" s="81" t="s">
        <v>123</v>
      </c>
      <c r="C63" s="18" t="s">
        <v>25</v>
      </c>
      <c r="D63" s="31">
        <v>350106</v>
      </c>
      <c r="E63" s="20" t="s">
        <v>124</v>
      </c>
      <c r="F63" s="21">
        <v>4990</v>
      </c>
      <c r="G63" s="42" t="s">
        <v>27</v>
      </c>
      <c r="H63" s="23">
        <v>43101</v>
      </c>
      <c r="I63" s="23">
        <v>43465</v>
      </c>
      <c r="J63" s="36"/>
      <c r="K63" s="25">
        <f>IF(G63="გამ. შესყიდვა",SUMIFS('[1]გამარტივებული შესყიდვა'!L:L,'[1]გამარტივებული შესყიდვა'!K:K,B63,'[1]გამარტივებული შესყიდვა'!N:N,"სახელმწიფო ბიუჯეტი",'[1]გამარტივებული შესყიდვა'!O:O,"350106"),0)</f>
        <v>4014</v>
      </c>
      <c r="L63" s="25">
        <f>IF(G63="გამ. შესყიდვა",SUMIFS('[1]გამარტივებული შესყიდვა'!L:L,'[1]გამარტივებული შესყიდვა'!K:K,B63,'[1]გამარტივებული შესყიდვა'!N:N,"სახელმწიფო ბიუჯეტი",'[1]გამარტივებული შესყიდვა'!O:O,"3503030702"),0)</f>
        <v>647.23</v>
      </c>
      <c r="M63" s="25">
        <f>IF(G63="კონს. ტენდერი",SUMIFS('[1]კონსოლიდირებული ტენდერი'!L:L,'[1]კონსოლიდირებული ტენდერი'!E:E,B63,'[1]კონსოლიდირებული ტენდერი'!N:N,"სახელმწიფო ბიუჯეტი",'[1]კონსოლიდირებული ტენდერი'!O:O,"350106"),0)</f>
        <v>0</v>
      </c>
      <c r="N63" s="25">
        <f>IF(G63="კონს. ტენდერი",SUMIFS('[1]კონსოლიდირებული ტენდერი'!L:L,'[1]კონსოლიდირებული ტენდერი'!E:E,B63,'[1]კონსოლიდირებული ტენდერი'!N:N,"სახელმწიფო ბიუჯეტი",'[1]კონსოლიდირებული ტენდერი'!O:O,"3503030702"),0)</f>
        <v>0</v>
      </c>
      <c r="O63" s="25">
        <f>IF(G63="ელ. ტენდერი",SUMIFS('[1]ელ. ტენდერი'!N:N,'[1]ელ. ტენდერი'!G:G,B63,'[1]ელ. ტენდერი'!Q:Q,"სახელმწიფო ბიუჯეტი",'[1]ელ. ტენდერი'!R:R,"350106"),0)</f>
        <v>0</v>
      </c>
      <c r="P63" s="25">
        <f>IF(G63="ელ. ტენდერი",SUMIFS('[1]ელ. ტენდერი'!N:N,'[1]ელ. ტენდერი'!G:G,'30.05.2018'!B63,'[1]ელ. ტენდერი'!Q:Q,"სახელმწიფო ბიუჯეტი",'[1]ელ. ტენდერი'!R:R,"3503030702"),0)</f>
        <v>0</v>
      </c>
      <c r="Q63" s="26">
        <f t="shared" si="1"/>
        <v>328.77000000000044</v>
      </c>
    </row>
    <row r="64" spans="1:17" x14ac:dyDescent="0.25">
      <c r="A64" s="17">
        <v>59</v>
      </c>
      <c r="B64" s="81" t="s">
        <v>125</v>
      </c>
      <c r="C64" s="18" t="s">
        <v>25</v>
      </c>
      <c r="D64" s="31">
        <v>350106</v>
      </c>
      <c r="E64" s="20" t="s">
        <v>126</v>
      </c>
      <c r="F64" s="21">
        <v>3790</v>
      </c>
      <c r="G64" s="22" t="s">
        <v>27</v>
      </c>
      <c r="H64" s="23">
        <v>43101</v>
      </c>
      <c r="I64" s="23">
        <v>43465</v>
      </c>
      <c r="J64" s="36"/>
      <c r="K64" s="25">
        <f>IF(G64="გამ. შესყიდვა",SUMIFS('[1]გამარტივებული შესყიდვა'!L:L,'[1]გამარტივებული შესყიდვა'!K:K,B64,'[1]გამარტივებული შესყიდვა'!N:N,"სახელმწიფო ბიუჯეტი",'[1]გამარტივებული შესყიდვა'!O:O,"350106"),0)</f>
        <v>0</v>
      </c>
      <c r="L64" s="25">
        <f>IF(G64="გამ. შესყიდვა",SUMIFS('[1]გამარტივებული შესყიდვა'!L:L,'[1]გამარტივებული შესყიდვა'!K:K,B64,'[1]გამარტივებული შესყიდვა'!N:N,"სახელმწიფო ბიუჯეტი",'[1]გამარტივებული შესყიდვა'!O:O,"3503030702"),0)</f>
        <v>250</v>
      </c>
      <c r="M64" s="25">
        <f>IF(G64="კონს. ტენდერი",SUMIFS('[1]კონსოლიდირებული ტენდერი'!L:L,'[1]კონსოლიდირებული ტენდერი'!E:E,B64,'[1]კონსოლიდირებული ტენდერი'!N:N,"სახელმწიფო ბიუჯეტი",'[1]კონსოლიდირებული ტენდერი'!O:O,"350106"),0)</f>
        <v>0</v>
      </c>
      <c r="N64" s="25">
        <f>IF(G64="კონს. ტენდერი",SUMIFS('[1]კონსოლიდირებული ტენდერი'!L:L,'[1]კონსოლიდირებული ტენდერი'!E:E,B64,'[1]კონსოლიდირებული ტენდერი'!N:N,"სახელმწიფო ბიუჯეტი",'[1]კონსოლიდირებული ტენდერი'!O:O,"3503030702"),0)</f>
        <v>0</v>
      </c>
      <c r="O64" s="25">
        <f>IF(G64="ელ. ტენდერი",SUMIFS('[1]ელ. ტენდერი'!N:N,'[1]ელ. ტენდერი'!G:G,B64,'[1]ელ. ტენდერი'!Q:Q,"სახელმწიფო ბიუჯეტი",'[1]ელ. ტენდერი'!R:R,"350106"),0)</f>
        <v>0</v>
      </c>
      <c r="P64" s="25">
        <f>IF(G64="ელ. ტენდერი",SUMIFS('[1]ელ. ტენდერი'!N:N,'[1]ელ. ტენდერი'!G:G,'30.05.2018'!B64,'[1]ელ. ტენდერი'!Q:Q,"სახელმწიფო ბიუჯეტი",'[1]ელ. ტენდერი'!R:R,"3503030702"),0)</f>
        <v>0</v>
      </c>
      <c r="Q64" s="26">
        <f t="shared" si="1"/>
        <v>3540</v>
      </c>
    </row>
    <row r="65" spans="1:17" x14ac:dyDescent="0.25">
      <c r="A65" s="17">
        <v>60</v>
      </c>
      <c r="B65" s="81" t="s">
        <v>125</v>
      </c>
      <c r="C65" s="18" t="s">
        <v>25</v>
      </c>
      <c r="D65" s="19">
        <v>3503030702</v>
      </c>
      <c r="E65" s="20" t="s">
        <v>126</v>
      </c>
      <c r="F65" s="21">
        <v>1200</v>
      </c>
      <c r="G65" s="22" t="s">
        <v>27</v>
      </c>
      <c r="H65" s="23">
        <v>43165</v>
      </c>
      <c r="I65" s="23">
        <v>43465</v>
      </c>
      <c r="J65" s="36"/>
      <c r="K65" s="25">
        <f>IF(G65="გამ. შესყიდვა",SUMIFS('[1]გამარტივებული შესყიდვა'!L:L,'[1]გამარტივებული შესყიდვა'!K:K,B65,'[1]გამარტივებული შესყიდვა'!N:N,"სახელმწიფო ბიუჯეტი",'[1]გამარტივებული შესყიდვა'!O:O,"350106"),0)</f>
        <v>0</v>
      </c>
      <c r="L65" s="25">
        <f>IF(G65="გამ. შესყიდვა",SUMIFS('[1]გამარტივებული შესყიდვა'!L:L,'[1]გამარტივებული შესყიდვა'!K:K,B65,'[1]გამარტივებული შესყიდვა'!N:N,"სახელმწიფო ბიუჯეტი",'[1]გამარტივებული შესყიდვა'!O:O,"3503030702"),0)</f>
        <v>250</v>
      </c>
      <c r="M65" s="25">
        <f>IF(G65="კონს. ტენდერი",SUMIFS('[1]კონსოლიდირებული ტენდერი'!L:L,'[1]კონსოლიდირებული ტენდერი'!E:E,B65,'[1]კონსოლიდირებული ტენდერი'!N:N,"სახელმწიფო ბიუჯეტი",'[1]კონსოლიდირებული ტენდერი'!O:O,"350106"),0)</f>
        <v>0</v>
      </c>
      <c r="N65" s="25">
        <f>IF(G65="კონს. ტენდერი",SUMIFS('[1]კონსოლიდირებული ტენდერი'!L:L,'[1]კონსოლიდირებული ტენდერი'!E:E,B65,'[1]კონსოლიდირებული ტენდერი'!N:N,"სახელმწიფო ბიუჯეტი",'[1]კონსოლიდირებული ტენდერი'!O:O,"3503030702"),0)</f>
        <v>0</v>
      </c>
      <c r="O65" s="25">
        <f>IF(G65="ელ. ტენდერი",SUMIFS('[1]ელ. ტენდერი'!N:N,'[1]ელ. ტენდერი'!G:G,B65,'[1]ელ. ტენდერი'!Q:Q,"სახელმწიფო ბიუჯეტი",'[1]ელ. ტენდერი'!R:R,"350106"),0)</f>
        <v>0</v>
      </c>
      <c r="P65" s="25">
        <f>IF(G65="ელ. ტენდერი",SUMIFS('[1]ელ. ტენდერი'!N:N,'[1]ელ. ტენდერი'!G:G,'30.05.2018'!B65,'[1]ელ. ტენდერი'!Q:Q,"სახელმწიფო ბიუჯეტი",'[1]ელ. ტენდერი'!R:R,"3503030702"),0)</f>
        <v>0</v>
      </c>
      <c r="Q65" s="26">
        <f t="shared" si="1"/>
        <v>950</v>
      </c>
    </row>
    <row r="66" spans="1:17" x14ac:dyDescent="0.25">
      <c r="A66" s="17">
        <v>61</v>
      </c>
      <c r="B66" s="81" t="s">
        <v>127</v>
      </c>
      <c r="C66" s="18" t="s">
        <v>25</v>
      </c>
      <c r="D66" s="19">
        <v>3503030702</v>
      </c>
      <c r="E66" s="20" t="s">
        <v>128</v>
      </c>
      <c r="F66" s="21">
        <v>990</v>
      </c>
      <c r="G66" s="22" t="s">
        <v>27</v>
      </c>
      <c r="H66" s="23">
        <v>43101</v>
      </c>
      <c r="I66" s="23">
        <v>43465</v>
      </c>
      <c r="J66" s="36"/>
      <c r="K66" s="25">
        <f>IF(G66="გამ. შესყიდვა",SUMIFS('[1]გამარტივებული შესყიდვა'!L:L,'[1]გამარტივებული შესყიდვა'!K:K,B66,'[1]გამარტივებული შესყიდვა'!N:N,"სახელმწიფო ბიუჯეტი",'[1]გამარტივებული შესყიდვა'!O:O,"350106"),0)</f>
        <v>400</v>
      </c>
      <c r="L66" s="25">
        <f>IF(G66="გამ. შესყიდვა",SUMIFS('[1]გამარტივებული შესყიდვა'!L:L,'[1]გამარტივებული შესყიდვა'!K:K,B66,'[1]გამარტივებული შესყიდვა'!N:N,"სახელმწიფო ბიუჯეტი",'[1]გამარტივებული შესყიდვა'!O:O,"3503030702"),0)</f>
        <v>129.6</v>
      </c>
      <c r="M66" s="25">
        <f>IF(G66="კონს. ტენდერი",SUMIFS('[1]კონსოლიდირებული ტენდერი'!L:L,'[1]კონსოლიდირებული ტენდერი'!E:E,B66,'[1]კონსოლიდირებული ტენდერი'!N:N,"სახელმწიფო ბიუჯეტი",'[1]კონსოლიდირებული ტენდერი'!O:O,"350106"),0)</f>
        <v>0</v>
      </c>
      <c r="N66" s="25">
        <f>IF(G66="კონს. ტენდერი",SUMIFS('[1]კონსოლიდირებული ტენდერი'!L:L,'[1]კონსოლიდირებული ტენდერი'!E:E,B66,'[1]კონსოლიდირებული ტენდერი'!N:N,"სახელმწიფო ბიუჯეტი",'[1]კონსოლიდირებული ტენდერი'!O:O,"3503030702"),0)</f>
        <v>0</v>
      </c>
      <c r="O66" s="25">
        <f>IF(G66="ელ. ტენდერი",SUMIFS('[1]ელ. ტენდერი'!N:N,'[1]ელ. ტენდერი'!G:G,B66,'[1]ელ. ტენდერი'!Q:Q,"სახელმწიფო ბიუჯეტი",'[1]ელ. ტენდერი'!R:R,"350106"),0)</f>
        <v>0</v>
      </c>
      <c r="P66" s="25">
        <f>IF(G66="ელ. ტენდერი",SUMIFS('[1]ელ. ტენდერი'!N:N,'[1]ელ. ტენდერი'!G:G,'30.05.2018'!B66,'[1]ელ. ტენდერი'!Q:Q,"სახელმწიფო ბიუჯეტი",'[1]ელ. ტენდერი'!R:R,"3503030702"),0)</f>
        <v>0</v>
      </c>
      <c r="Q66" s="26">
        <f t="shared" si="1"/>
        <v>460.4</v>
      </c>
    </row>
    <row r="67" spans="1:17" x14ac:dyDescent="0.25">
      <c r="A67" s="17">
        <v>62</v>
      </c>
      <c r="B67" s="81" t="s">
        <v>127</v>
      </c>
      <c r="C67" s="35" t="s">
        <v>67</v>
      </c>
      <c r="D67" s="31">
        <v>350106</v>
      </c>
      <c r="E67" s="20" t="s">
        <v>128</v>
      </c>
      <c r="F67" s="21">
        <v>4000</v>
      </c>
      <c r="G67" s="22" t="s">
        <v>27</v>
      </c>
      <c r="H67" s="23">
        <v>43101</v>
      </c>
      <c r="I67" s="23">
        <v>43465</v>
      </c>
      <c r="J67" s="36"/>
      <c r="K67" s="25">
        <f>IF(G67="გამ. შესყიდვა",SUMIFS('[1]გამარტივებული შესყიდვა'!L:L,'[1]გამარტივებული შესყიდვა'!K:K,B67,'[1]გამარტივებული შესყიდვა'!N:N,"სახელმწიფო ბიუჯეტი",'[1]გამარტივებული შესყიდვა'!O:O,"350106"),0)</f>
        <v>400</v>
      </c>
      <c r="L67" s="25">
        <f>IF(G67="გამ. შესყიდვა",SUMIFS('[1]გამარტივებული შესყიდვა'!L:L,'[1]გამარტივებული შესყიდვა'!K:K,B67,'[1]გამარტივებული შესყიდვა'!N:N,"სახელმწიფო ბიუჯეტი",'[1]გამარტივებული შესყიდვა'!O:O,"3503030702"),0)</f>
        <v>129.6</v>
      </c>
      <c r="M67" s="25">
        <f>IF(G67="კონს. ტენდერი",SUMIFS('[1]კონსოლიდირებული ტენდერი'!L:L,'[1]კონსოლიდირებული ტენდერი'!E:E,B67,'[1]კონსოლიდირებული ტენდერი'!N:N,"სახელმწიფო ბიუჯეტი",'[1]კონსოლიდირებული ტენდერი'!O:O,"350106"),0)</f>
        <v>0</v>
      </c>
      <c r="N67" s="25">
        <f>IF(G67="კონს. ტენდერი",SUMIFS('[1]კონსოლიდირებული ტენდერი'!L:L,'[1]კონსოლიდირებული ტენდერი'!E:E,B67,'[1]კონსოლიდირებული ტენდერი'!N:N,"სახელმწიფო ბიუჯეტი",'[1]კონსოლიდირებული ტენდერი'!O:O,"3503030702"),0)</f>
        <v>0</v>
      </c>
      <c r="O67" s="25">
        <f>IF(G67="ელ. ტენდერი",SUMIFS('[1]ელ. ტენდერი'!N:N,'[1]ელ. ტენდერი'!G:G,B67,'[1]ელ. ტენდერი'!Q:Q,"სახელმწიფო ბიუჯეტი",'[1]ელ. ტენდერი'!R:R,"350106"),0)</f>
        <v>0</v>
      </c>
      <c r="P67" s="25">
        <f>IF(G67="ელ. ტენდერი",SUMIFS('[1]ელ. ტენდერი'!N:N,'[1]ელ. ტენდერი'!G:G,'30.05.2018'!B67,'[1]ელ. ტენდერი'!Q:Q,"სახელმწიფო ბიუჯეტი",'[1]ელ. ტენდერი'!R:R,"3503030702"),0)</f>
        <v>0</v>
      </c>
      <c r="Q67" s="26">
        <f t="shared" si="1"/>
        <v>3470.4</v>
      </c>
    </row>
    <row r="68" spans="1:17" x14ac:dyDescent="0.25">
      <c r="A68" s="17">
        <v>63</v>
      </c>
      <c r="B68" s="81" t="s">
        <v>129</v>
      </c>
      <c r="C68" s="35" t="s">
        <v>67</v>
      </c>
      <c r="D68" s="19">
        <v>3503030702</v>
      </c>
      <c r="E68" s="20" t="s">
        <v>130</v>
      </c>
      <c r="F68" s="21">
        <v>2900</v>
      </c>
      <c r="G68" s="22" t="s">
        <v>27</v>
      </c>
      <c r="H68" s="23">
        <v>43101</v>
      </c>
      <c r="I68" s="23">
        <v>43465</v>
      </c>
      <c r="J68" s="36"/>
      <c r="K68" s="25">
        <f>IF(G68="გამ. შესყიდვა",SUMIFS('[1]გამარტივებული შესყიდვა'!L:L,'[1]გამარტივებული შესყიდვა'!K:K,B68,'[1]გამარტივებული შესყიდვა'!N:N,"სახელმწიფო ბიუჯეტი",'[1]გამარტივებული შესყიდვა'!O:O,"350106"),0)</f>
        <v>239.20000000000002</v>
      </c>
      <c r="L68" s="25">
        <f>IF(G68="გამ. შესყიდვა",SUMIFS('[1]გამარტივებული შესყიდვა'!L:L,'[1]გამარტივებული შესყიდვა'!K:K,B68,'[1]გამარტივებული შესყიდვა'!N:N,"სახელმწიფო ბიუჯეტი",'[1]გამარტივებული შესყიდვა'!O:O,"3503030702"),0)</f>
        <v>731.33</v>
      </c>
      <c r="M68" s="25">
        <f>IF(G68="კონს. ტენდერი",SUMIFS('[1]კონსოლიდირებული ტენდერი'!L:L,'[1]კონსოლიდირებული ტენდერი'!E:E,B68,'[1]კონსოლიდირებული ტენდერი'!N:N,"სახელმწიფო ბიუჯეტი",'[1]კონსოლიდირებული ტენდერი'!O:O,"350106"),0)</f>
        <v>0</v>
      </c>
      <c r="N68" s="25">
        <f>IF(G68="კონს. ტენდერი",SUMIFS('[1]კონსოლიდირებული ტენდერი'!L:L,'[1]კონსოლიდირებული ტენდერი'!E:E,B68,'[1]კონსოლიდირებული ტენდერი'!N:N,"სახელმწიფო ბიუჯეტი",'[1]კონსოლიდირებული ტენდერი'!O:O,"3503030702"),0)</f>
        <v>0</v>
      </c>
      <c r="O68" s="25">
        <f>IF(G68="ელ. ტენდერი",SUMIFS('[1]ელ. ტენდერი'!N:N,'[1]ელ. ტენდერი'!G:G,B68,'[1]ელ. ტენდერი'!Q:Q,"სახელმწიფო ბიუჯეტი",'[1]ელ. ტენდერი'!R:R,"350106"),0)</f>
        <v>0</v>
      </c>
      <c r="P68" s="25">
        <f>IF(G68="ელ. ტენდერი",SUMIFS('[1]ელ. ტენდერი'!N:N,'[1]ელ. ტენდერი'!G:G,'30.05.2018'!B68,'[1]ელ. ტენდერი'!Q:Q,"სახელმწიფო ბიუჯეტი",'[1]ელ. ტენდერი'!R:R,"3503030702"),0)</f>
        <v>0</v>
      </c>
      <c r="Q68" s="26">
        <f t="shared" si="1"/>
        <v>1929.4699999999998</v>
      </c>
    </row>
    <row r="69" spans="1:17" x14ac:dyDescent="0.25">
      <c r="A69" s="17">
        <v>64</v>
      </c>
      <c r="B69" s="81" t="s">
        <v>129</v>
      </c>
      <c r="C69" s="18" t="s">
        <v>25</v>
      </c>
      <c r="D69" s="19">
        <v>3503030702</v>
      </c>
      <c r="E69" s="20" t="s">
        <v>130</v>
      </c>
      <c r="F69" s="21">
        <v>800</v>
      </c>
      <c r="G69" s="22" t="s">
        <v>27</v>
      </c>
      <c r="H69" s="23">
        <v>43101</v>
      </c>
      <c r="I69" s="23">
        <v>43465</v>
      </c>
      <c r="J69" s="36"/>
      <c r="K69" s="25">
        <f>IF(G69="გამ. შესყიდვა",SUMIFS('[1]გამარტივებული შესყიდვა'!L:L,'[1]გამარტივებული შესყიდვა'!K:K,B69,'[1]გამარტივებული შესყიდვა'!N:N,"სახელმწიფო ბიუჯეტი",'[1]გამარტივებული შესყიდვა'!O:O,"350106"),0)</f>
        <v>239.20000000000002</v>
      </c>
      <c r="L69" s="25">
        <f>IF(G69="გამ. შესყიდვა",SUMIFS('[1]გამარტივებული შესყიდვა'!L:L,'[1]გამარტივებული შესყიდვა'!K:K,B69,'[1]გამარტივებული შესყიდვა'!N:N,"სახელმწიფო ბიუჯეტი",'[1]გამარტივებული შესყიდვა'!O:O,"3503030702"),0)</f>
        <v>731.33</v>
      </c>
      <c r="M69" s="25">
        <f>IF(G69="კონს. ტენდერი",SUMIFS('[1]კონსოლიდირებული ტენდერი'!L:L,'[1]კონსოლიდირებული ტენდერი'!E:E,B69,'[1]კონსოლიდირებული ტენდერი'!N:N,"სახელმწიფო ბიუჯეტი",'[1]კონსოლიდირებული ტენდერი'!O:O,"350106"),0)</f>
        <v>0</v>
      </c>
      <c r="N69" s="25">
        <f>IF(G69="კონს. ტენდერი",SUMIFS('[1]კონსოლიდირებული ტენდერი'!L:L,'[1]კონსოლიდირებული ტენდერი'!E:E,B69,'[1]კონსოლიდირებული ტენდერი'!N:N,"სახელმწიფო ბიუჯეტი",'[1]კონსოლიდირებული ტენდერი'!O:O,"3503030702"),0)</f>
        <v>0</v>
      </c>
      <c r="O69" s="25">
        <f>IF(G69="ელ. ტენდერი",SUMIFS('[1]ელ. ტენდერი'!N:N,'[1]ელ. ტენდერი'!G:G,B69,'[1]ელ. ტენდერი'!Q:Q,"სახელმწიფო ბიუჯეტი",'[1]ელ. ტენდერი'!R:R,"350106"),0)</f>
        <v>0</v>
      </c>
      <c r="P69" s="25">
        <f>IF(G69="ელ. ტენდერი",SUMIFS('[1]ელ. ტენდერი'!N:N,'[1]ელ. ტენდერი'!G:G,'30.05.2018'!B69,'[1]ელ. ტენდერი'!Q:Q,"სახელმწიფო ბიუჯეტი",'[1]ელ. ტენდერი'!R:R,"3503030702"),0)</f>
        <v>0</v>
      </c>
      <c r="Q69" s="26">
        <f t="shared" si="1"/>
        <v>-170.53000000000009</v>
      </c>
    </row>
    <row r="70" spans="1:17" x14ac:dyDescent="0.25">
      <c r="A70" s="17">
        <v>65</v>
      </c>
      <c r="B70" s="81" t="s">
        <v>129</v>
      </c>
      <c r="C70" s="18" t="s">
        <v>25</v>
      </c>
      <c r="D70" s="31">
        <v>350106</v>
      </c>
      <c r="E70" s="20" t="s">
        <v>130</v>
      </c>
      <c r="F70" s="21">
        <v>1200</v>
      </c>
      <c r="G70" s="22" t="s">
        <v>27</v>
      </c>
      <c r="H70" s="23">
        <v>43101</v>
      </c>
      <c r="I70" s="23">
        <v>43465</v>
      </c>
      <c r="J70" s="36"/>
      <c r="K70" s="25">
        <f>IF(G70="გამ. შესყიდვა",SUMIFS('[1]გამარტივებული შესყიდვა'!L:L,'[1]გამარტივებული შესყიდვა'!K:K,B70,'[1]გამარტივებული შესყიდვა'!N:N,"სახელმწიფო ბიუჯეტი",'[1]გამარტივებული შესყიდვა'!O:O,"350106"),0)</f>
        <v>239.20000000000002</v>
      </c>
      <c r="L70" s="25">
        <f>IF(G70="გამ. შესყიდვა",SUMIFS('[1]გამარტივებული შესყიდვა'!L:L,'[1]გამარტივებული შესყიდვა'!K:K,B70,'[1]გამარტივებული შესყიდვა'!N:N,"სახელმწიფო ბიუჯეტი",'[1]გამარტივებული შესყიდვა'!O:O,"3503030702"),0)</f>
        <v>731.33</v>
      </c>
      <c r="M70" s="25">
        <f>IF(G70="კონს. ტენდერი",SUMIFS('[1]კონსოლიდირებული ტენდერი'!L:L,'[1]კონსოლიდირებული ტენდერი'!E:E,B70,'[1]კონსოლიდირებული ტენდერი'!N:N,"სახელმწიფო ბიუჯეტი",'[1]კონსოლიდირებული ტენდერი'!O:O,"350106"),0)</f>
        <v>0</v>
      </c>
      <c r="N70" s="25">
        <f>IF(G70="კონს. ტენდერი",SUMIFS('[1]კონსოლიდირებული ტენდერი'!L:L,'[1]კონსოლიდირებული ტენდერი'!E:E,B70,'[1]კონსოლიდირებული ტენდერი'!N:N,"სახელმწიფო ბიუჯეტი",'[1]კონსოლიდირებული ტენდერი'!O:O,"3503030702"),0)</f>
        <v>0</v>
      </c>
      <c r="O70" s="25">
        <f>IF(G70="ელ. ტენდერი",SUMIFS('[1]ელ. ტენდერი'!N:N,'[1]ელ. ტენდერი'!G:G,B70,'[1]ელ. ტენდერი'!Q:Q,"სახელმწიფო ბიუჯეტი",'[1]ელ. ტენდერი'!R:R,"350106"),0)</f>
        <v>0</v>
      </c>
      <c r="P70" s="25">
        <f>IF(G70="ელ. ტენდერი",SUMIFS('[1]ელ. ტენდერი'!N:N,'[1]ელ. ტენდერი'!G:G,'30.05.2018'!B70,'[1]ელ. ტენდერი'!Q:Q,"სახელმწიფო ბიუჯეტი",'[1]ელ. ტენდერი'!R:R,"3503030702"),0)</f>
        <v>0</v>
      </c>
      <c r="Q70" s="26">
        <f t="shared" si="1"/>
        <v>229.46999999999991</v>
      </c>
    </row>
    <row r="71" spans="1:17" x14ac:dyDescent="0.25">
      <c r="A71" s="17">
        <v>66</v>
      </c>
      <c r="B71" s="81" t="s">
        <v>131</v>
      </c>
      <c r="C71" s="18" t="s">
        <v>25</v>
      </c>
      <c r="D71" s="19">
        <v>3503030702</v>
      </c>
      <c r="E71" s="20" t="s">
        <v>132</v>
      </c>
      <c r="F71" s="21">
        <v>4990</v>
      </c>
      <c r="G71" s="22" t="s">
        <v>27</v>
      </c>
      <c r="H71" s="23">
        <v>43101</v>
      </c>
      <c r="I71" s="23">
        <v>43465</v>
      </c>
      <c r="J71" s="36"/>
      <c r="K71" s="25">
        <f>IF(G71="გამ. შესყიდვა",SUMIFS('[1]გამარტივებული შესყიდვა'!L:L,'[1]გამარტივებული შესყიდვა'!K:K,B71,'[1]გამარტივებული შესყიდვა'!N:N,"სახელმწიფო ბიუჯეტი",'[1]გამარტივებული შესყიდვა'!O:O,"350106"),0)</f>
        <v>0</v>
      </c>
      <c r="L71" s="25">
        <f>IF(G71="გამ. შესყიდვა",SUMIFS('[1]გამარტივებული შესყიდვა'!L:L,'[1]გამარტივებული შესყიდვა'!K:K,B71,'[1]გამარტივებული შესყიდვა'!N:N,"სახელმწიფო ბიუჯეტი",'[1]გამარტივებული შესყიდვა'!O:O,"3503030702"),0)</f>
        <v>420</v>
      </c>
      <c r="M71" s="25">
        <f>IF(G71="კონს. ტენდერი",SUMIFS('[1]კონსოლიდირებული ტენდერი'!L:L,'[1]კონსოლიდირებული ტენდერი'!E:E,B71,'[1]კონსოლიდირებული ტენდერი'!N:N,"სახელმწიფო ბიუჯეტი",'[1]კონსოლიდირებული ტენდერი'!O:O,"350106"),0)</f>
        <v>0</v>
      </c>
      <c r="N71" s="25">
        <f>IF(G71="კონს. ტენდერი",SUMIFS('[1]კონსოლიდირებული ტენდერი'!L:L,'[1]კონსოლიდირებული ტენდერი'!E:E,B71,'[1]კონსოლიდირებული ტენდერი'!N:N,"სახელმწიფო ბიუჯეტი",'[1]კონსოლიდირებული ტენდერი'!O:O,"3503030702"),0)</f>
        <v>0</v>
      </c>
      <c r="O71" s="25">
        <f>IF(G71="ელ. ტენდერი",SUMIFS('[1]ელ. ტენდერი'!N:N,'[1]ელ. ტენდერი'!G:G,B71,'[1]ელ. ტენდერი'!Q:Q,"სახელმწიფო ბიუჯეტი",'[1]ელ. ტენდერი'!R:R,"350106"),0)</f>
        <v>0</v>
      </c>
      <c r="P71" s="25">
        <f>IF(G71="ელ. ტენდერი",SUMIFS('[1]ელ. ტენდერი'!N:N,'[1]ელ. ტენდერი'!G:G,'30.05.2018'!B71,'[1]ელ. ტენდერი'!Q:Q,"სახელმწიფო ბიუჯეტი",'[1]ელ. ტენდერი'!R:R,"3503030702"),0)</f>
        <v>0</v>
      </c>
      <c r="Q71" s="26">
        <f t="shared" ref="Q71:Q134" si="2">F71-SUM(K71:P71)</f>
        <v>4570</v>
      </c>
    </row>
    <row r="72" spans="1:17" x14ac:dyDescent="0.25">
      <c r="A72" s="17">
        <v>67</v>
      </c>
      <c r="B72" s="81" t="s">
        <v>133</v>
      </c>
      <c r="C72" s="18" t="s">
        <v>25</v>
      </c>
      <c r="D72" s="19">
        <v>3503030702</v>
      </c>
      <c r="E72" s="20" t="s">
        <v>134</v>
      </c>
      <c r="F72" s="21">
        <v>4990</v>
      </c>
      <c r="G72" s="22" t="s">
        <v>27</v>
      </c>
      <c r="H72" s="23">
        <v>43101</v>
      </c>
      <c r="I72" s="23">
        <v>43465</v>
      </c>
      <c r="J72" s="36"/>
      <c r="K72" s="25">
        <f>IF(G72="გამ. შესყიდვა",SUMIFS('[1]გამარტივებული შესყიდვა'!L:L,'[1]გამარტივებული შესყიდვა'!K:K,B72,'[1]გამარტივებული შესყიდვა'!N:N,"სახელმწიფო ბიუჯეტი",'[1]გამარტივებული შესყიდვა'!O:O,"350106"),0)</f>
        <v>0</v>
      </c>
      <c r="L72" s="25">
        <f>IF(G72="გამ. შესყიდვა",SUMIFS('[1]გამარტივებული შესყიდვა'!L:L,'[1]გამარტივებული შესყიდვა'!K:K,B72,'[1]გამარტივებული შესყიდვა'!N:N,"სახელმწიფო ბიუჯეტი",'[1]გამარტივებული შესყიდვა'!O:O,"3503030702"),0)</f>
        <v>249.3</v>
      </c>
      <c r="M72" s="25">
        <f>IF(G72="კონს. ტენდერი",SUMIFS('[1]კონსოლიდირებული ტენდერი'!L:L,'[1]კონსოლიდირებული ტენდერი'!E:E,B72,'[1]კონსოლიდირებული ტენდერი'!N:N,"სახელმწიფო ბიუჯეტი",'[1]კონსოლიდირებული ტენდერი'!O:O,"350106"),0)</f>
        <v>0</v>
      </c>
      <c r="N72" s="25">
        <f>IF(G72="კონს. ტენდერი",SUMIFS('[1]კონსოლიდირებული ტენდერი'!L:L,'[1]კონსოლიდირებული ტენდერი'!E:E,B72,'[1]კონსოლიდირებული ტენდერი'!N:N,"სახელმწიფო ბიუჯეტი",'[1]კონსოლიდირებული ტენდერი'!O:O,"3503030702"),0)</f>
        <v>0</v>
      </c>
      <c r="O72" s="25">
        <f>IF(G72="ელ. ტენდერი",SUMIFS('[1]ელ. ტენდერი'!N:N,'[1]ელ. ტენდერი'!G:G,B72,'[1]ელ. ტენდერი'!Q:Q,"სახელმწიფო ბიუჯეტი",'[1]ელ. ტენდერი'!R:R,"350106"),0)</f>
        <v>0</v>
      </c>
      <c r="P72" s="25">
        <f>IF(G72="ელ. ტენდერი",SUMIFS('[1]ელ. ტენდერი'!N:N,'[1]ელ. ტენდერი'!G:G,'30.05.2018'!B72,'[1]ელ. ტენდერი'!Q:Q,"სახელმწიფო ბიუჯეტი",'[1]ელ. ტენდერი'!R:R,"3503030702"),0)</f>
        <v>0</v>
      </c>
      <c r="Q72" s="26">
        <f t="shared" si="2"/>
        <v>4740.7</v>
      </c>
    </row>
    <row r="73" spans="1:17" x14ac:dyDescent="0.25">
      <c r="A73" s="17">
        <v>68</v>
      </c>
      <c r="B73" s="72" t="s">
        <v>135</v>
      </c>
      <c r="C73" s="18" t="s">
        <v>25</v>
      </c>
      <c r="D73" s="19">
        <v>3503030702</v>
      </c>
      <c r="E73" s="20" t="s">
        <v>136</v>
      </c>
      <c r="F73" s="21">
        <v>1900</v>
      </c>
      <c r="G73" s="22" t="s">
        <v>27</v>
      </c>
      <c r="H73" s="23">
        <v>43101</v>
      </c>
      <c r="I73" s="23">
        <v>43465</v>
      </c>
      <c r="J73" s="36"/>
      <c r="K73" s="25">
        <f>IF(G73="გამ. შესყიდვა",SUMIFS('[1]გამარტივებული შესყიდვა'!L:L,'[1]გამარტივებული შესყიდვა'!K:K,B73,'[1]გამარტივებული შესყიდვა'!N:N,"სახელმწიფო ბიუჯეტი",'[1]გამარტივებული შესყიდვა'!O:O,"350106"),0)</f>
        <v>305</v>
      </c>
      <c r="L73" s="25">
        <f>IF(G73="გამ. შესყიდვა",SUMIFS('[1]გამარტივებული შესყიდვა'!L:L,'[1]გამარტივებული შესყიდვა'!K:K,B73,'[1]გამარტივებული შესყიდვა'!N:N,"სახელმწიფო ბიუჯეტი",'[1]გამარტივებული შესყიდვა'!O:O,"3503030702"),0)</f>
        <v>263</v>
      </c>
      <c r="M73" s="25">
        <f>IF(G73="კონს. ტენდერი",SUMIFS('[1]კონსოლიდირებული ტენდერი'!L:L,'[1]კონსოლიდირებული ტენდერი'!E:E,B73,'[1]კონსოლიდირებული ტენდერი'!N:N,"სახელმწიფო ბიუჯეტი",'[1]კონსოლიდირებული ტენდერი'!O:O,"350106"),0)</f>
        <v>0</v>
      </c>
      <c r="N73" s="25">
        <f>IF(G73="კონს. ტენდერი",SUMIFS('[1]კონსოლიდირებული ტენდერი'!L:L,'[1]კონსოლიდირებული ტენდერი'!E:E,B73,'[1]კონსოლიდირებული ტენდერი'!N:N,"სახელმწიფო ბიუჯეტი",'[1]კონსოლიდირებული ტენდერი'!O:O,"3503030702"),0)</f>
        <v>0</v>
      </c>
      <c r="O73" s="25">
        <f>IF(G73="ელ. ტენდერი",SUMIFS('[1]ელ. ტენდერი'!N:N,'[1]ელ. ტენდერი'!G:G,B73,'[1]ელ. ტენდერი'!Q:Q,"სახელმწიფო ბიუჯეტი",'[1]ელ. ტენდერი'!R:R,"350106"),0)</f>
        <v>0</v>
      </c>
      <c r="P73" s="25">
        <f>IF(G73="ელ. ტენდერი",SUMIFS('[1]ელ. ტენდერი'!N:N,'[1]ელ. ტენდერი'!G:G,'30.05.2018'!B73,'[1]ელ. ტენდერი'!Q:Q,"სახელმწიფო ბიუჯეტი",'[1]ელ. ტენდერი'!R:R,"3503030702"),0)</f>
        <v>0</v>
      </c>
      <c r="Q73" s="26">
        <f t="shared" si="2"/>
        <v>1332</v>
      </c>
    </row>
    <row r="74" spans="1:17" x14ac:dyDescent="0.25">
      <c r="A74" s="17">
        <v>69</v>
      </c>
      <c r="B74" s="72" t="s">
        <v>135</v>
      </c>
      <c r="C74" s="18" t="s">
        <v>25</v>
      </c>
      <c r="D74" s="19">
        <v>350106</v>
      </c>
      <c r="E74" s="20" t="s">
        <v>136</v>
      </c>
      <c r="F74" s="21">
        <v>3000</v>
      </c>
      <c r="G74" s="22" t="s">
        <v>27</v>
      </c>
      <c r="H74" s="23">
        <v>43101</v>
      </c>
      <c r="I74" s="23">
        <v>43465</v>
      </c>
      <c r="J74" s="36"/>
      <c r="K74" s="25">
        <f>IF(G74="გამ. შესყიდვა",SUMIFS('[1]გამარტივებული შესყიდვა'!L:L,'[1]გამარტივებული შესყიდვა'!K:K,B74,'[1]გამარტივებული შესყიდვა'!N:N,"სახელმწიფო ბიუჯეტი",'[1]გამარტივებული შესყიდვა'!O:O,"350106"),0)</f>
        <v>305</v>
      </c>
      <c r="L74" s="25">
        <f>IF(G74="გამ. შესყიდვა",SUMIFS('[1]გამარტივებული შესყიდვა'!L:L,'[1]გამარტივებული შესყიდვა'!K:K,B74,'[1]გამარტივებული შესყიდვა'!N:N,"სახელმწიფო ბიუჯეტი",'[1]გამარტივებული შესყიდვა'!O:O,"3503030702"),0)</f>
        <v>263</v>
      </c>
      <c r="M74" s="25">
        <f>IF(G74="კონს. ტენდერი",SUMIFS('[1]კონსოლიდირებული ტენდერი'!L:L,'[1]კონსოლიდირებული ტენდერი'!E:E,B74,'[1]კონსოლიდირებული ტენდერი'!N:N,"სახელმწიფო ბიუჯეტი",'[1]კონსოლიდირებული ტენდერი'!O:O,"350106"),0)</f>
        <v>0</v>
      </c>
      <c r="N74" s="25">
        <f>IF(G74="კონს. ტენდერი",SUMIFS('[1]კონსოლიდირებული ტენდერი'!L:L,'[1]კონსოლიდირებული ტენდერი'!E:E,B74,'[1]კონსოლიდირებული ტენდერი'!N:N,"სახელმწიფო ბიუჯეტი",'[1]კონსოლიდირებული ტენდერი'!O:O,"3503030702"),0)</f>
        <v>0</v>
      </c>
      <c r="O74" s="25">
        <f>IF(G74="ელ. ტენდერი",SUMIFS('[1]ელ. ტენდერი'!N:N,'[1]ელ. ტენდერი'!G:G,B74,'[1]ელ. ტენდერი'!Q:Q,"სახელმწიფო ბიუჯეტი",'[1]ელ. ტენდერი'!R:R,"350106"),0)</f>
        <v>0</v>
      </c>
      <c r="P74" s="25">
        <f>IF(G74="ელ. ტენდერი",SUMIFS('[1]ელ. ტენდერი'!N:N,'[1]ელ. ტენდერი'!G:G,'30.05.2018'!B74,'[1]ელ. ტენდერი'!Q:Q,"სახელმწიფო ბიუჯეტი",'[1]ელ. ტენდერი'!R:R,"3503030702"),0)</f>
        <v>0</v>
      </c>
      <c r="Q74" s="26">
        <f t="shared" si="2"/>
        <v>2432</v>
      </c>
    </row>
    <row r="75" spans="1:17" ht="25.5" x14ac:dyDescent="0.25">
      <c r="A75" s="17">
        <v>70</v>
      </c>
      <c r="B75" s="81" t="s">
        <v>137</v>
      </c>
      <c r="C75" s="18" t="s">
        <v>25</v>
      </c>
      <c r="D75" s="19">
        <v>3503030702</v>
      </c>
      <c r="E75" s="20" t="s">
        <v>138</v>
      </c>
      <c r="F75" s="21">
        <f>4990+30000</f>
        <v>34990</v>
      </c>
      <c r="G75" s="22" t="s">
        <v>34</v>
      </c>
      <c r="H75" s="23">
        <v>43101</v>
      </c>
      <c r="I75" s="23">
        <v>43465</v>
      </c>
      <c r="J75" s="36"/>
      <c r="K75" s="25">
        <f>IF(G75="გამ. შესყიდვა",SUMIFS('[1]გამარტივებული შესყიდვა'!L:L,'[1]გამარტივებული შესყიდვა'!K:K,B75,'[1]გამარტივებული შესყიდვა'!N:N,"სახელმწიფო ბიუჯეტი",'[1]გამარტივებული შესყიდვა'!O:O,"350106"),0)</f>
        <v>0</v>
      </c>
      <c r="L75" s="25">
        <f>IF(G75="გამ. შესყიდვა",SUMIFS('[1]გამარტივებული შესყიდვა'!L:L,'[1]გამარტივებული შესყიდვა'!K:K,B75,'[1]გამარტივებული შესყიდვა'!N:N,"სახელმწიფო ბიუჯეტი",'[1]გამარტივებული შესყიდვა'!O:O,"3503030702"),0)</f>
        <v>0</v>
      </c>
      <c r="M75" s="25">
        <f>IF(G75="კონს. ტენდერი",SUMIFS('[1]კონსოლიდირებული ტენდერი'!L:L,'[1]კონსოლიდირებული ტენდერი'!E:E,B75,'[1]კონსოლიდირებული ტენდერი'!N:N,"სახელმწიფო ბიუჯეტი",'[1]კონსოლიდირებული ტენდერი'!O:O,"350106"),0)</f>
        <v>0</v>
      </c>
      <c r="N75" s="25">
        <f>IF(G75="კონს. ტენდერი",SUMIFS('[1]კონსოლიდირებული ტენდერი'!L:L,'[1]კონსოლიდირებული ტენდერი'!E:E,B75,'[1]კონსოლიდირებული ტენდერი'!N:N,"სახელმწიფო ბიუჯეტი",'[1]კონსოლიდირებული ტენდერი'!O:O,"3503030702"),0)</f>
        <v>0</v>
      </c>
      <c r="O75" s="25">
        <f>IF(G75="ელ. ტენდერი",SUMIFS('[1]ელ. ტენდერი'!N:N,'[1]ელ. ტენდერი'!G:G,B75,'[1]ელ. ტენდერი'!Q:Q,"სახელმწიფო ბიუჯეტი",'[1]ელ. ტენდერი'!R:R,"350106"),0)</f>
        <v>0</v>
      </c>
      <c r="P75" s="25">
        <f>IF(G75="ელ. ტენდერი",SUMIFS('[1]ელ. ტენდერი'!N:N,'[1]ელ. ტენდერი'!G:G,'30.05.2018'!B75,'[1]ელ. ტენდერი'!Q:Q,"სახელმწიფო ბიუჯეტი",'[1]ელ. ტენდერი'!R:R,"3503030702"),0)</f>
        <v>15219</v>
      </c>
      <c r="Q75" s="26">
        <f t="shared" si="2"/>
        <v>19771</v>
      </c>
    </row>
    <row r="76" spans="1:17" x14ac:dyDescent="0.25">
      <c r="A76" s="17">
        <v>71</v>
      </c>
      <c r="B76" s="81" t="s">
        <v>139</v>
      </c>
      <c r="C76" s="18" t="s">
        <v>25</v>
      </c>
      <c r="D76" s="19">
        <v>3503030702</v>
      </c>
      <c r="E76" s="20" t="s">
        <v>140</v>
      </c>
      <c r="F76" s="21">
        <v>30000</v>
      </c>
      <c r="G76" s="22" t="s">
        <v>34</v>
      </c>
      <c r="H76" s="23">
        <v>43101</v>
      </c>
      <c r="I76" s="23">
        <v>43465</v>
      </c>
      <c r="J76" s="36"/>
      <c r="K76" s="25">
        <f>IF(G76="გამ. შესყიდვა",SUMIFS('[1]გამარტივებული შესყიდვა'!L:L,'[1]გამარტივებული შესყიდვა'!K:K,B76,'[1]გამარტივებული შესყიდვა'!N:N,"სახელმწიფო ბიუჯეტი",'[1]გამარტივებული შესყიდვა'!O:O,"350106"),0)</f>
        <v>0</v>
      </c>
      <c r="L76" s="25">
        <f>IF(G76="გამ. შესყიდვა",SUMIFS('[1]გამარტივებული შესყიდვა'!L:L,'[1]გამარტივებული შესყიდვა'!K:K,B76,'[1]გამარტივებული შესყიდვა'!N:N,"სახელმწიფო ბიუჯეტი",'[1]გამარტივებული შესყიდვა'!O:O,"3503030702"),0)</f>
        <v>0</v>
      </c>
      <c r="M76" s="25">
        <f>IF(G76="კონს. ტენდერი",SUMIFS('[1]კონსოლიდირებული ტენდერი'!L:L,'[1]კონსოლიდირებული ტენდერი'!E:E,B76,'[1]კონსოლიდირებული ტენდერი'!N:N,"სახელმწიფო ბიუჯეტი",'[1]კონსოლიდირებული ტენდერი'!O:O,"350106"),0)</f>
        <v>0</v>
      </c>
      <c r="N76" s="25">
        <f>IF(G76="კონს. ტენდერი",SUMIFS('[1]კონსოლიდირებული ტენდერი'!L:L,'[1]კონსოლიდირებული ტენდერი'!E:E,B76,'[1]კონსოლიდირებული ტენდერი'!N:N,"სახელმწიფო ბიუჯეტი",'[1]კონსოლიდირებული ტენდერი'!O:O,"3503030702"),0)</f>
        <v>0</v>
      </c>
      <c r="O76" s="25">
        <f>IF(G76="ელ. ტენდერი",SUMIFS('[1]ელ. ტენდერი'!N:N,'[1]ელ. ტენდერი'!G:G,B76,'[1]ელ. ტენდერი'!Q:Q,"სახელმწიფო ბიუჯეტი",'[1]ელ. ტენდერი'!R:R,"350106"),0)</f>
        <v>0</v>
      </c>
      <c r="P76" s="25">
        <f>IF(G76="ელ. ტენდერი",SUMIFS('[1]ელ. ტენდერი'!N:N,'[1]ელ. ტენდერი'!G:G,'30.05.2018'!B76,'[1]ელ. ტენდერი'!Q:Q,"სახელმწიფო ბიუჯეტი",'[1]ელ. ტენდერი'!R:R,"3503030702"),0)</f>
        <v>0</v>
      </c>
      <c r="Q76" s="26">
        <f t="shared" si="2"/>
        <v>30000</v>
      </c>
    </row>
    <row r="77" spans="1:17" x14ac:dyDescent="0.25">
      <c r="A77" s="17">
        <v>72</v>
      </c>
      <c r="B77" s="81" t="s">
        <v>141</v>
      </c>
      <c r="C77" s="18" t="s">
        <v>25</v>
      </c>
      <c r="D77" s="19">
        <v>3503030702</v>
      </c>
      <c r="E77" s="20" t="s">
        <v>142</v>
      </c>
      <c r="F77" s="21">
        <v>57380</v>
      </c>
      <c r="G77" s="22" t="s">
        <v>34</v>
      </c>
      <c r="H77" s="23">
        <v>43101</v>
      </c>
      <c r="I77" s="23">
        <v>43465</v>
      </c>
      <c r="J77" s="36"/>
      <c r="K77" s="25">
        <f>IF(G77="გამ. შესყიდვა",SUMIFS('[1]გამარტივებული შესყიდვა'!L:L,'[1]გამარტივებული შესყიდვა'!K:K,B77,'[1]გამარტივებული შესყიდვა'!N:N,"სახელმწიფო ბიუჯეტი",'[1]გამარტივებული შესყიდვა'!O:O,"350106"),0)</f>
        <v>0</v>
      </c>
      <c r="L77" s="25">
        <f>IF(G77="გამ. შესყიდვა",SUMIFS('[1]გამარტივებული შესყიდვა'!L:L,'[1]გამარტივებული შესყიდვა'!K:K,B77,'[1]გამარტივებული შესყიდვა'!N:N,"სახელმწიფო ბიუჯეტი",'[1]გამარტივებული შესყიდვა'!O:O,"3503030702"),0)</f>
        <v>0</v>
      </c>
      <c r="M77" s="25">
        <f>IF(G77="კონს. ტენდერი",SUMIFS('[1]კონსოლიდირებული ტენდერი'!L:L,'[1]კონსოლიდირებული ტენდერი'!E:E,B77,'[1]კონსოლიდირებული ტენდერი'!N:N,"სახელმწიფო ბიუჯეტი",'[1]კონსოლიდირებული ტენდერი'!O:O,"350106"),0)</f>
        <v>0</v>
      </c>
      <c r="N77" s="25">
        <f>IF(G77="კონს. ტენდერი",SUMIFS('[1]კონსოლიდირებული ტენდერი'!L:L,'[1]კონსოლიდირებული ტენდერი'!E:E,B77,'[1]კონსოლიდირებული ტენდერი'!N:N,"სახელმწიფო ბიუჯეტი",'[1]კონსოლიდირებული ტენდერი'!O:O,"3503030702"),0)</f>
        <v>0</v>
      </c>
      <c r="O77" s="25">
        <f>IF(G77="ელ. ტენდერი",SUMIFS('[1]ელ. ტენდერი'!N:N,'[1]ელ. ტენდერი'!G:G,B77,'[1]ელ. ტენდერი'!Q:Q,"სახელმწიფო ბიუჯეტი",'[1]ელ. ტენდერი'!R:R,"350106"),0)</f>
        <v>0</v>
      </c>
      <c r="P77" s="25">
        <f>IF(G77="ელ. ტენდერი",SUMIFS('[1]ელ. ტენდერი'!N:N,'[1]ელ. ტენდერი'!G:G,'30.05.2018'!B77,'[1]ელ. ტენდერი'!Q:Q,"სახელმწიფო ბიუჯეტი",'[1]ელ. ტენდერი'!R:R,"3503030702"),0)</f>
        <v>0</v>
      </c>
      <c r="Q77" s="26">
        <f t="shared" si="2"/>
        <v>57380</v>
      </c>
    </row>
    <row r="78" spans="1:17" x14ac:dyDescent="0.25">
      <c r="A78" s="17">
        <v>73</v>
      </c>
      <c r="B78" s="81" t="s">
        <v>143</v>
      </c>
      <c r="C78" s="18" t="s">
        <v>25</v>
      </c>
      <c r="D78" s="19">
        <v>3503030702</v>
      </c>
      <c r="E78" s="20" t="s">
        <v>144</v>
      </c>
      <c r="F78" s="21">
        <f>3990-1500</f>
        <v>2490</v>
      </c>
      <c r="G78" s="22" t="s">
        <v>27</v>
      </c>
      <c r="H78" s="23">
        <v>43101</v>
      </c>
      <c r="I78" s="23">
        <v>43465</v>
      </c>
      <c r="J78" s="36"/>
      <c r="K78" s="25">
        <f>IF(G78="გამ. შესყიდვა",SUMIFS('[1]გამარტივებული შესყიდვა'!L:L,'[1]გამარტივებული შესყიდვა'!K:K,B78,'[1]გამარტივებული შესყიდვა'!N:N,"სახელმწიფო ბიუჯეტი",'[1]გამარტივებული შესყიდვა'!O:O,"350106"),0)</f>
        <v>0</v>
      </c>
      <c r="L78" s="25">
        <f>IF(G78="გამ. შესყიდვა",SUMIFS('[1]გამარტივებული შესყიდვა'!L:L,'[1]გამარტივებული შესყიდვა'!K:K,B78,'[1]გამარტივებული შესყიდვა'!N:N,"სახელმწიფო ბიუჯეტი",'[1]გამარტივებული შესყიდვა'!O:O,"3503030702"),0)</f>
        <v>0</v>
      </c>
      <c r="M78" s="25">
        <f>IF(G78="კონს. ტენდერი",SUMIFS('[1]კონსოლიდირებული ტენდერი'!L:L,'[1]კონსოლიდირებული ტენდერი'!E:E,B78,'[1]კონსოლიდირებული ტენდერი'!N:N,"სახელმწიფო ბიუჯეტი",'[1]კონსოლიდირებული ტენდერი'!O:O,"350106"),0)</f>
        <v>0</v>
      </c>
      <c r="N78" s="25">
        <f>IF(G78="კონს. ტენდერი",SUMIFS('[1]კონსოლიდირებული ტენდერი'!L:L,'[1]კონსოლიდირებული ტენდერი'!E:E,B78,'[1]კონსოლიდირებული ტენდერი'!N:N,"სახელმწიფო ბიუჯეტი",'[1]კონსოლიდირებული ტენდერი'!O:O,"3503030702"),0)</f>
        <v>0</v>
      </c>
      <c r="O78" s="25">
        <f>IF(G78="ელ. ტენდერი",SUMIFS('[1]ელ. ტენდერი'!N:N,'[1]ელ. ტენდერი'!G:G,B78,'[1]ელ. ტენდერი'!Q:Q,"სახელმწიფო ბიუჯეტი",'[1]ელ. ტენდერი'!R:R,"350106"),0)</f>
        <v>0</v>
      </c>
      <c r="P78" s="25">
        <f>IF(G78="ელ. ტენდერი",SUMIFS('[1]ელ. ტენდერი'!N:N,'[1]ელ. ტენდერი'!G:G,'30.05.2018'!B78,'[1]ელ. ტენდერი'!Q:Q,"სახელმწიფო ბიუჯეტი",'[1]ელ. ტენდერი'!R:R,"3503030702"),0)</f>
        <v>0</v>
      </c>
      <c r="Q78" s="26">
        <f t="shared" si="2"/>
        <v>2490</v>
      </c>
    </row>
    <row r="79" spans="1:17" x14ac:dyDescent="0.25">
      <c r="A79" s="17">
        <v>74</v>
      </c>
      <c r="B79" s="81" t="s">
        <v>143</v>
      </c>
      <c r="C79" s="18" t="s">
        <v>25</v>
      </c>
      <c r="D79" s="31">
        <v>350106</v>
      </c>
      <c r="E79" s="20" t="s">
        <v>144</v>
      </c>
      <c r="F79" s="21">
        <f>1000+1500</f>
        <v>2500</v>
      </c>
      <c r="G79" s="22" t="s">
        <v>27</v>
      </c>
      <c r="H79" s="23">
        <v>43101</v>
      </c>
      <c r="I79" s="23">
        <v>43465</v>
      </c>
      <c r="J79" s="36"/>
      <c r="K79" s="25">
        <f>IF(G79="გამ. შესყიდვა",SUMIFS('[1]გამარტივებული შესყიდვა'!L:L,'[1]გამარტივებული შესყიდვა'!K:K,B79,'[1]გამარტივებული შესყიდვა'!N:N,"სახელმწიფო ბიუჯეტი",'[1]გამარტივებული შესყიდვა'!O:O,"350106"),0)</f>
        <v>0</v>
      </c>
      <c r="L79" s="25">
        <f>IF(G79="გამ. შესყიდვა",SUMIFS('[1]გამარტივებული შესყიდვა'!L:L,'[1]გამარტივებული შესყიდვა'!K:K,B79,'[1]გამარტივებული შესყიდვა'!N:N,"სახელმწიფო ბიუჯეტი",'[1]გამარტივებული შესყიდვა'!O:O,"3503030702"),0)</f>
        <v>0</v>
      </c>
      <c r="M79" s="25">
        <f>IF(G79="კონს. ტენდერი",SUMIFS('[1]კონსოლიდირებული ტენდერი'!L:L,'[1]კონსოლიდირებული ტენდერი'!E:E,B79,'[1]კონსოლიდირებული ტენდერი'!N:N,"სახელმწიფო ბიუჯეტი",'[1]კონსოლიდირებული ტენდერი'!O:O,"350106"),0)</f>
        <v>0</v>
      </c>
      <c r="N79" s="25">
        <f>IF(G79="კონს. ტენდერი",SUMIFS('[1]კონსოლიდირებული ტენდერი'!L:L,'[1]კონსოლიდირებული ტენდერი'!E:E,B79,'[1]კონსოლიდირებული ტენდერი'!N:N,"სახელმწიფო ბიუჯეტი",'[1]კონსოლიდირებული ტენდერი'!O:O,"3503030702"),0)</f>
        <v>0</v>
      </c>
      <c r="O79" s="25">
        <f>IF(G79="ელ. ტენდერი",SUMIFS('[1]ელ. ტენდერი'!N:N,'[1]ელ. ტენდერი'!G:G,B79,'[1]ელ. ტენდერი'!Q:Q,"სახელმწიფო ბიუჯეტი",'[1]ელ. ტენდერი'!R:R,"350106"),0)</f>
        <v>0</v>
      </c>
      <c r="P79" s="25">
        <f>IF(G79="ელ. ტენდერი",SUMIFS('[1]ელ. ტენდერი'!N:N,'[1]ელ. ტენდერი'!G:G,'30.05.2018'!B79,'[1]ელ. ტენდერი'!Q:Q,"სახელმწიფო ბიუჯეტი",'[1]ელ. ტენდერი'!R:R,"3503030702"),0)</f>
        <v>0</v>
      </c>
      <c r="Q79" s="26">
        <f t="shared" si="2"/>
        <v>2500</v>
      </c>
    </row>
    <row r="80" spans="1:17" x14ac:dyDescent="0.25">
      <c r="A80" s="17">
        <v>75</v>
      </c>
      <c r="B80" s="81" t="s">
        <v>145</v>
      </c>
      <c r="C80" s="18" t="s">
        <v>25</v>
      </c>
      <c r="D80" s="19">
        <v>3503030702</v>
      </c>
      <c r="E80" s="20" t="s">
        <v>146</v>
      </c>
      <c r="F80" s="21">
        <f>90000+76890</f>
        <v>166890</v>
      </c>
      <c r="G80" s="22" t="s">
        <v>34</v>
      </c>
      <c r="H80" s="23">
        <v>43101</v>
      </c>
      <c r="I80" s="23">
        <v>43465</v>
      </c>
      <c r="J80" s="36"/>
      <c r="K80" s="25">
        <f>IF(G80="გამ. შესყიდვა",SUMIFS('[1]გამარტივებული შესყიდვა'!L:L,'[1]გამარტივებული შესყიდვა'!K:K,B80,'[1]გამარტივებული შესყიდვა'!N:N,"სახელმწიფო ბიუჯეტი",'[1]გამარტივებული შესყიდვა'!O:O,"350106"),0)</f>
        <v>0</v>
      </c>
      <c r="L80" s="25">
        <f>IF(G80="გამ. შესყიდვა",SUMIFS('[1]გამარტივებული შესყიდვა'!L:L,'[1]გამარტივებული შესყიდვა'!K:K,B80,'[1]გამარტივებული შესყიდვა'!N:N,"სახელმწიფო ბიუჯეტი",'[1]გამარტივებული შესყიდვა'!O:O,"3503030702"),0)</f>
        <v>0</v>
      </c>
      <c r="M80" s="25">
        <f>IF(G80="კონს. ტენდერი",SUMIFS('[1]კონსოლიდირებული ტენდერი'!L:L,'[1]კონსოლიდირებული ტენდერი'!E:E,B80,'[1]კონსოლიდირებული ტენდერი'!N:N,"სახელმწიფო ბიუჯეტი",'[1]კონსოლიდირებული ტენდერი'!O:O,"350106"),0)</f>
        <v>0</v>
      </c>
      <c r="N80" s="25">
        <f>IF(G80="კონს. ტენდერი",SUMIFS('[1]კონსოლიდირებული ტენდერი'!L:L,'[1]კონსოლიდირებული ტენდერი'!E:E,B80,'[1]კონსოლიდირებული ტენდერი'!N:N,"სახელმწიფო ბიუჯეტი",'[1]კონსოლიდირებული ტენდერი'!O:O,"3503030702"),0)</f>
        <v>0</v>
      </c>
      <c r="O80" s="25">
        <f>IF(G80="ელ. ტენდერი",SUMIFS('[1]ელ. ტენდერი'!N:N,'[1]ელ. ტენდერი'!G:G,B80,'[1]ელ. ტენდერი'!Q:Q,"სახელმწიფო ბიუჯეტი",'[1]ელ. ტენდერი'!R:R,"350106"),0)</f>
        <v>0</v>
      </c>
      <c r="P80" s="25">
        <f>IF(G80="ელ. ტენდერი",SUMIFS('[1]ელ. ტენდერი'!N:N,'[1]ელ. ტენდერი'!G:G,'30.05.2018'!B80,'[1]ელ. ტენდერი'!Q:Q,"სახელმწიფო ბიუჯეტი",'[1]ელ. ტენდერი'!R:R,"3503030702"),0)</f>
        <v>0</v>
      </c>
      <c r="Q80" s="26">
        <f t="shared" si="2"/>
        <v>166890</v>
      </c>
    </row>
    <row r="81" spans="1:17" x14ac:dyDescent="0.25">
      <c r="A81" s="17">
        <v>76</v>
      </c>
      <c r="B81" s="81" t="s">
        <v>145</v>
      </c>
      <c r="C81" s="18" t="s">
        <v>147</v>
      </c>
      <c r="D81" s="19">
        <v>3503030702</v>
      </c>
      <c r="E81" s="20" t="s">
        <v>146</v>
      </c>
      <c r="F81" s="21">
        <v>90000</v>
      </c>
      <c r="G81" s="22" t="s">
        <v>34</v>
      </c>
      <c r="H81" s="23">
        <v>43101</v>
      </c>
      <c r="I81" s="23">
        <v>43465</v>
      </c>
      <c r="J81" s="36"/>
      <c r="K81" s="25">
        <f>IF(G81="გამ. შესყიდვა",SUMIFS('[1]გამარტივებული შესყიდვა'!L:L,'[1]გამარტივებული შესყიდვა'!K:K,B81,'[1]გამარტივებული შესყიდვა'!N:N,"სახელმწიფო ბიუჯეტი",'[1]გამარტივებული შესყიდვა'!O:O,"350106"),0)</f>
        <v>0</v>
      </c>
      <c r="L81" s="25">
        <f>IF(G81="გამ. შესყიდვა",SUMIFS('[1]გამარტივებული შესყიდვა'!L:L,'[1]გამარტივებული შესყიდვა'!K:K,B81,'[1]გამარტივებული შესყიდვა'!N:N,"სახელმწიფო ბიუჯეტი",'[1]გამარტივებული შესყიდვა'!O:O,"3503030702"),0)</f>
        <v>0</v>
      </c>
      <c r="M81" s="25">
        <f>IF(G81="კონს. ტენდერი",SUMIFS('[1]კონსოლიდირებული ტენდერი'!L:L,'[1]კონსოლიდირებული ტენდერი'!E:E,B81,'[1]კონსოლიდირებული ტენდერი'!N:N,"სახელმწიფო ბიუჯეტი",'[1]კონსოლიდირებული ტენდერი'!O:O,"350106"),0)</f>
        <v>0</v>
      </c>
      <c r="N81" s="25">
        <f>IF(G81="კონს. ტენდერი",SUMIFS('[1]კონსოლიდირებული ტენდერი'!L:L,'[1]კონსოლიდირებული ტენდერი'!E:E,B81,'[1]კონსოლიდირებული ტენდერი'!N:N,"სახელმწიფო ბიუჯეტი",'[1]კონსოლიდირებული ტენდერი'!O:O,"3503030702"),0)</f>
        <v>0</v>
      </c>
      <c r="O81" s="25">
        <f>IF(G81="ელ. ტენდერი",SUMIFS('[1]ელ. ტენდერი'!N:N,'[1]ელ. ტენდერი'!G:G,B81,'[1]ელ. ტენდერი'!Q:Q,"სახელმწიფო ბიუჯეტი",'[1]ელ. ტენდერი'!R:R,"350106"),0)</f>
        <v>0</v>
      </c>
      <c r="P81" s="25">
        <f>IF(G81="ელ. ტენდერი",SUMIFS('[1]ელ. ტენდერი'!N:N,'[1]ელ. ტენდერი'!G:G,'30.05.2018'!B81,'[1]ელ. ტენდერი'!Q:Q,"სახელმწიფო ბიუჯეტი",'[1]ელ. ტენდერი'!R:R,"3503030702"),0)</f>
        <v>0</v>
      </c>
      <c r="Q81" s="26">
        <f t="shared" si="2"/>
        <v>90000</v>
      </c>
    </row>
    <row r="82" spans="1:17" x14ac:dyDescent="0.25">
      <c r="A82" s="17">
        <v>77</v>
      </c>
      <c r="B82" s="81" t="s">
        <v>148</v>
      </c>
      <c r="C82" s="18" t="s">
        <v>25</v>
      </c>
      <c r="D82" s="19">
        <v>3503030702</v>
      </c>
      <c r="E82" s="20" t="s">
        <v>149</v>
      </c>
      <c r="F82" s="21">
        <v>4990</v>
      </c>
      <c r="G82" s="22" t="s">
        <v>27</v>
      </c>
      <c r="H82" s="23">
        <v>43101</v>
      </c>
      <c r="I82" s="23">
        <v>43465</v>
      </c>
      <c r="J82" s="36"/>
      <c r="K82" s="25">
        <f>IF(G82="გამ. შესყიდვა",SUMIFS('[1]გამარტივებული შესყიდვა'!L:L,'[1]გამარტივებული შესყიდვა'!K:K,B82,'[1]გამარტივებული შესყიდვა'!N:N,"სახელმწიფო ბიუჯეტი",'[1]გამარტივებული შესყიდვა'!O:O,"350106"),0)</f>
        <v>0</v>
      </c>
      <c r="L82" s="25">
        <f>IF(G82="გამ. შესყიდვა",SUMIFS('[1]გამარტივებული შესყიდვა'!L:L,'[1]გამარტივებული შესყიდვა'!K:K,B82,'[1]გამარტივებული შესყიდვა'!N:N,"სახელმწიფო ბიუჯეტი",'[1]გამარტივებული შესყიდვა'!O:O,"3503030702"),0)</f>
        <v>0</v>
      </c>
      <c r="M82" s="25">
        <f>IF(G82="კონს. ტენდერი",SUMIFS('[1]კონსოლიდირებული ტენდერი'!L:L,'[1]კონსოლიდირებული ტენდერი'!E:E,B82,'[1]კონსოლიდირებული ტენდერი'!N:N,"სახელმწიფო ბიუჯეტი",'[1]კონსოლიდირებული ტენდერი'!O:O,"350106"),0)</f>
        <v>0</v>
      </c>
      <c r="N82" s="25">
        <f>IF(G82="კონს. ტენდერი",SUMIFS('[1]კონსოლიდირებული ტენდერი'!L:L,'[1]კონსოლიდირებული ტენდერი'!E:E,B82,'[1]კონსოლიდირებული ტენდერი'!N:N,"სახელმწიფო ბიუჯეტი",'[1]კონსოლიდირებული ტენდერი'!O:O,"3503030702"),0)</f>
        <v>0</v>
      </c>
      <c r="O82" s="25">
        <f>IF(G82="ელ. ტენდერი",SUMIFS('[1]ელ. ტენდერი'!N:N,'[1]ელ. ტენდერი'!G:G,B82,'[1]ელ. ტენდერი'!Q:Q,"სახელმწიფო ბიუჯეტი",'[1]ელ. ტენდერი'!R:R,"350106"),0)</f>
        <v>0</v>
      </c>
      <c r="P82" s="25">
        <f>IF(G82="ელ. ტენდერი",SUMIFS('[1]ელ. ტენდერი'!N:N,'[1]ელ. ტენდერი'!G:G,'30.05.2018'!B82,'[1]ელ. ტენდერი'!Q:Q,"სახელმწიფო ბიუჯეტი",'[1]ელ. ტენდერი'!R:R,"3503030702"),0)</f>
        <v>0</v>
      </c>
      <c r="Q82" s="26">
        <f t="shared" si="2"/>
        <v>4990</v>
      </c>
    </row>
    <row r="83" spans="1:17" x14ac:dyDescent="0.25">
      <c r="A83" s="17">
        <v>78</v>
      </c>
      <c r="B83" s="81" t="s">
        <v>150</v>
      </c>
      <c r="C83" s="18" t="s">
        <v>25</v>
      </c>
      <c r="D83" s="19">
        <v>3503030702</v>
      </c>
      <c r="E83" s="20" t="s">
        <v>151</v>
      </c>
      <c r="F83" s="21">
        <v>4990</v>
      </c>
      <c r="G83" s="22" t="s">
        <v>27</v>
      </c>
      <c r="H83" s="23">
        <v>43101</v>
      </c>
      <c r="I83" s="23">
        <v>43465</v>
      </c>
      <c r="J83" s="36"/>
      <c r="K83" s="25">
        <f>IF(G83="გამ. შესყიდვა",SUMIFS('[1]გამარტივებული შესყიდვა'!L:L,'[1]გამარტივებული შესყიდვა'!K:K,B83,'[1]გამარტივებული შესყიდვა'!N:N,"სახელმწიფო ბიუჯეტი",'[1]გამარტივებული შესყიდვა'!O:O,"350106"),0)</f>
        <v>0</v>
      </c>
      <c r="L83" s="25">
        <f>IF(G83="გამ. შესყიდვა",SUMIFS('[1]გამარტივებული შესყიდვა'!L:L,'[1]გამარტივებული შესყიდვა'!K:K,B83,'[1]გამარტივებული შესყიდვა'!N:N,"სახელმწიფო ბიუჯეტი",'[1]გამარტივებული შესყიდვა'!O:O,"3503030702"),0)</f>
        <v>0</v>
      </c>
      <c r="M83" s="25">
        <f>IF(G83="კონს. ტენდერი",SUMIFS('[1]კონსოლიდირებული ტენდერი'!L:L,'[1]კონსოლიდირებული ტენდერი'!E:E,B83,'[1]კონსოლიდირებული ტენდერი'!N:N,"სახელმწიფო ბიუჯეტი",'[1]კონსოლიდირებული ტენდერი'!O:O,"350106"),0)</f>
        <v>0</v>
      </c>
      <c r="N83" s="25">
        <f>IF(G83="კონს. ტენდერი",SUMIFS('[1]კონსოლიდირებული ტენდერი'!L:L,'[1]კონსოლიდირებული ტენდერი'!E:E,B83,'[1]კონსოლიდირებული ტენდერი'!N:N,"სახელმწიფო ბიუჯეტი",'[1]კონსოლიდირებული ტენდერი'!O:O,"3503030702"),0)</f>
        <v>0</v>
      </c>
      <c r="O83" s="25">
        <f>IF(G83="ელ. ტენდერი",SUMIFS('[1]ელ. ტენდერი'!N:N,'[1]ელ. ტენდერი'!G:G,B83,'[1]ელ. ტენდერი'!Q:Q,"სახელმწიფო ბიუჯეტი",'[1]ელ. ტენდერი'!R:R,"350106"),0)</f>
        <v>0</v>
      </c>
      <c r="P83" s="25">
        <f>IF(G83="ელ. ტენდერი",SUMIFS('[1]ელ. ტენდერი'!N:N,'[1]ელ. ტენდერი'!G:G,'30.05.2018'!B83,'[1]ელ. ტენდერი'!Q:Q,"სახელმწიფო ბიუჯეტი",'[1]ელ. ტენდერი'!R:R,"3503030702"),0)</f>
        <v>0</v>
      </c>
      <c r="Q83" s="26">
        <f t="shared" si="2"/>
        <v>4990</v>
      </c>
    </row>
    <row r="84" spans="1:17" x14ac:dyDescent="0.25">
      <c r="A84" s="17">
        <v>79</v>
      </c>
      <c r="B84" s="81" t="s">
        <v>152</v>
      </c>
      <c r="C84" s="18" t="s">
        <v>25</v>
      </c>
      <c r="D84" s="31">
        <v>350106</v>
      </c>
      <c r="E84" s="20" t="s">
        <v>153</v>
      </c>
      <c r="F84" s="21">
        <v>4990</v>
      </c>
      <c r="G84" s="22" t="s">
        <v>27</v>
      </c>
      <c r="H84" s="23">
        <v>43101</v>
      </c>
      <c r="I84" s="23">
        <v>43465</v>
      </c>
      <c r="J84" s="36"/>
      <c r="K84" s="25">
        <f>IF(G84="გამ. შესყიდვა",SUMIFS('[1]გამარტივებული შესყიდვა'!L:L,'[1]გამარტივებული შესყიდვა'!K:K,B84,'[1]გამარტივებული შესყიდვა'!N:N,"სახელმწიფო ბიუჯეტი",'[1]გამარტივებული შესყიდვა'!O:O,"350106"),0)</f>
        <v>1260</v>
      </c>
      <c r="L84" s="25">
        <f>IF(G84="გამ. შესყიდვა",SUMIFS('[1]გამარტივებული შესყიდვა'!L:L,'[1]გამარტივებული შესყიდვა'!K:K,B84,'[1]გამარტივებული შესყიდვა'!N:N,"სახელმწიფო ბიუჯეტი",'[1]გამარტივებული შესყიდვა'!O:O,"3503030702"),0)</f>
        <v>0</v>
      </c>
      <c r="M84" s="25">
        <f>IF(G84="კონს. ტენდერი",SUMIFS('[1]კონსოლიდირებული ტენდერი'!L:L,'[1]კონსოლიდირებული ტენდერი'!E:E,B84,'[1]კონსოლიდირებული ტენდერი'!N:N,"სახელმწიფო ბიუჯეტი",'[1]კონსოლიდირებული ტენდერი'!O:O,"350106"),0)</f>
        <v>0</v>
      </c>
      <c r="N84" s="25">
        <f>IF(G84="კონს. ტენდერი",SUMIFS('[1]კონსოლიდირებული ტენდერი'!L:L,'[1]კონსოლიდირებული ტენდერი'!E:E,B84,'[1]კონსოლიდირებული ტენდერი'!N:N,"სახელმწიფო ბიუჯეტი",'[1]კონსოლიდირებული ტენდერი'!O:O,"3503030702"),0)</f>
        <v>0</v>
      </c>
      <c r="O84" s="25">
        <f>IF(G84="ელ. ტენდერი",SUMIFS('[1]ელ. ტენდერი'!N:N,'[1]ელ. ტენდერი'!G:G,B84,'[1]ელ. ტენდერი'!Q:Q,"სახელმწიფო ბიუჯეტი",'[1]ელ. ტენდერი'!R:R,"350106"),0)</f>
        <v>0</v>
      </c>
      <c r="P84" s="25">
        <f>IF(G84="ელ. ტენდერი",SUMIFS('[1]ელ. ტენდერი'!N:N,'[1]ელ. ტენდერი'!G:G,'30.05.2018'!B84,'[1]ელ. ტენდერი'!Q:Q,"სახელმწიფო ბიუჯეტი",'[1]ელ. ტენდერი'!R:R,"3503030702"),0)</f>
        <v>0</v>
      </c>
      <c r="Q84" s="26">
        <f t="shared" si="2"/>
        <v>3730</v>
      </c>
    </row>
    <row r="85" spans="1:17" x14ac:dyDescent="0.25">
      <c r="A85" s="17">
        <v>80</v>
      </c>
      <c r="B85" s="81" t="s">
        <v>154</v>
      </c>
      <c r="C85" s="18" t="s">
        <v>25</v>
      </c>
      <c r="D85" s="19">
        <v>3503030702</v>
      </c>
      <c r="E85" s="20" t="s">
        <v>155</v>
      </c>
      <c r="F85" s="21">
        <v>270000</v>
      </c>
      <c r="G85" s="22" t="s">
        <v>27</v>
      </c>
      <c r="H85" s="23">
        <v>43101</v>
      </c>
      <c r="I85" s="23">
        <v>43465</v>
      </c>
      <c r="J85" s="36" t="s">
        <v>156</v>
      </c>
      <c r="K85" s="25">
        <f>IF(G85="გამ. შესყიდვა",SUMIFS('[1]გამარტივებული შესყიდვა'!L:L,'[1]გამარტივებული შესყიდვა'!K:K,B85,'[1]გამარტივებული შესყიდვა'!N:N,"სახელმწიფო ბიუჯეტი",'[1]გამარტივებული შესყიდვა'!O:O,"350106"),0)</f>
        <v>0</v>
      </c>
      <c r="L85" s="25">
        <f>IF(G85="გამ. შესყიდვა",SUMIFS('[1]გამარტივებული შესყიდვა'!L:L,'[1]გამარტივებული შესყიდვა'!K:K,B85,'[1]გამარტივებული შესყიდვა'!N:N,"სახელმწიფო ბიუჯეტი",'[1]გამარტივებული შესყიდვა'!O:O,"3503030702"),0)</f>
        <v>214000</v>
      </c>
      <c r="M85" s="25">
        <f>IF(G85="კონს. ტენდერი",SUMIFS('[1]კონსოლიდირებული ტენდერი'!L:L,'[1]კონსოლიდირებული ტენდერი'!E:E,B85,'[1]კონსოლიდირებული ტენდერი'!N:N,"სახელმწიფო ბიუჯეტი",'[1]კონსოლიდირებული ტენდერი'!O:O,"350106"),0)</f>
        <v>0</v>
      </c>
      <c r="N85" s="25">
        <f>IF(G85="კონს. ტენდერი",SUMIFS('[1]კონსოლიდირებული ტენდერი'!L:L,'[1]კონსოლიდირებული ტენდერი'!E:E,B85,'[1]კონსოლიდირებული ტენდერი'!N:N,"სახელმწიფო ბიუჯეტი",'[1]კონსოლიდირებული ტენდერი'!O:O,"3503030702"),0)</f>
        <v>0</v>
      </c>
      <c r="O85" s="25">
        <f>IF(G85="ელ. ტენდერი",SUMIFS('[1]ელ. ტენდერი'!N:N,'[1]ელ. ტენდერი'!G:G,B85,'[1]ელ. ტენდერი'!Q:Q,"სახელმწიფო ბიუჯეტი",'[1]ელ. ტენდერი'!R:R,"350106"),0)</f>
        <v>0</v>
      </c>
      <c r="P85" s="25">
        <f>IF(G85="ელ. ტენდერი",SUMIFS('[1]ელ. ტენდერი'!N:N,'[1]ელ. ტენდერი'!G:G,'30.05.2018'!B85,'[1]ელ. ტენდერი'!Q:Q,"სახელმწიფო ბიუჯეტი",'[1]ელ. ტენდერი'!R:R,"3503030702"),0)</f>
        <v>0</v>
      </c>
      <c r="Q85" s="26">
        <f t="shared" si="2"/>
        <v>56000</v>
      </c>
    </row>
    <row r="86" spans="1:17" x14ac:dyDescent="0.25">
      <c r="A86" s="17">
        <v>81</v>
      </c>
      <c r="B86" s="81" t="s">
        <v>154</v>
      </c>
      <c r="C86" s="18" t="s">
        <v>25</v>
      </c>
      <c r="D86" s="31">
        <v>350106</v>
      </c>
      <c r="E86" s="20" t="s">
        <v>155</v>
      </c>
      <c r="F86" s="21">
        <v>20000</v>
      </c>
      <c r="G86" s="22" t="s">
        <v>27</v>
      </c>
      <c r="H86" s="23">
        <v>43101</v>
      </c>
      <c r="I86" s="23">
        <v>43465</v>
      </c>
      <c r="J86" s="36" t="s">
        <v>156</v>
      </c>
      <c r="K86" s="25">
        <f>IF(G86="გამ. შესყიდვა",SUMIFS('[1]გამარტივებული შესყიდვა'!L:L,'[1]გამარტივებული შესყიდვა'!K:K,B86,'[1]გამარტივებული შესყიდვა'!N:N,"სახელმწიფო ბიუჯეტი",'[1]გამარტივებული შესყიდვა'!O:O,"350106"),0)</f>
        <v>0</v>
      </c>
      <c r="L86" s="25"/>
      <c r="M86" s="25">
        <f>IF(G86="კონს. ტენდერი",SUMIFS('[1]კონსოლიდირებული ტენდერი'!L:L,'[1]კონსოლიდირებული ტენდერი'!E:E,B86,'[1]კონსოლიდირებული ტენდერი'!N:N,"სახელმწიფო ბიუჯეტი",'[1]კონსოლიდირებული ტენდერი'!O:O,"350106"),0)</f>
        <v>0</v>
      </c>
      <c r="N86" s="25">
        <f>IF(G86="კონს. ტენდერი",SUMIFS('[1]კონსოლიდირებული ტენდერი'!L:L,'[1]კონსოლიდირებული ტენდერი'!E:E,B86,'[1]კონსოლიდირებული ტენდერი'!N:N,"სახელმწიფო ბიუჯეტი",'[1]კონსოლიდირებული ტენდერი'!O:O,"3503030702"),0)</f>
        <v>0</v>
      </c>
      <c r="O86" s="25">
        <f>IF(G86="ელ. ტენდერი",SUMIFS('[1]ელ. ტენდერი'!N:N,'[1]ელ. ტენდერი'!G:G,B86,'[1]ელ. ტენდერი'!Q:Q,"სახელმწიფო ბიუჯეტი",'[1]ელ. ტენდერი'!R:R,"350106"),0)</f>
        <v>0</v>
      </c>
      <c r="P86" s="25">
        <f>IF(G86="ელ. ტენდერი",SUMIFS('[1]ელ. ტენდერი'!N:N,'[1]ელ. ტენდერი'!G:G,'30.05.2018'!B86,'[1]ელ. ტენდერი'!Q:Q,"სახელმწიფო ბიუჯეტი",'[1]ელ. ტენდერი'!R:R,"3503030702"),0)</f>
        <v>0</v>
      </c>
      <c r="Q86" s="26">
        <f t="shared" si="2"/>
        <v>20000</v>
      </c>
    </row>
    <row r="87" spans="1:17" x14ac:dyDescent="0.25">
      <c r="A87" s="17">
        <v>82</v>
      </c>
      <c r="B87" s="81" t="s">
        <v>154</v>
      </c>
      <c r="C87" s="18" t="s">
        <v>25</v>
      </c>
      <c r="D87" s="19">
        <v>3503030702</v>
      </c>
      <c r="E87" s="20" t="s">
        <v>155</v>
      </c>
      <c r="F87" s="21">
        <v>1640000</v>
      </c>
      <c r="G87" s="22" t="s">
        <v>34</v>
      </c>
      <c r="H87" s="23">
        <v>43101</v>
      </c>
      <c r="I87" s="23">
        <v>43465</v>
      </c>
      <c r="J87" s="43"/>
      <c r="K87" s="25">
        <f>IF(G87="გამ. შესყიდვა",SUMIFS('[1]გამარტივებული შესყიდვა'!L:L,'[1]გამარტივებული შესყიდვა'!K:K,B87,'[1]გამარტივებული შესყიდვა'!N:N,"სახელმწიფო ბიუჯეტი",'[1]გამარტივებული შესყიდვა'!O:O,"350106"),0)</f>
        <v>0</v>
      </c>
      <c r="L87" s="25">
        <f>IF(G87="გამ. შესყიდვა",SUMIFS('[1]გამარტივებული შესყიდვა'!L:L,'[1]გამარტივებული შესყიდვა'!K:K,B87,'[1]გამარტივებული შესყიდვა'!N:N,"სახელმწიფო ბიუჯეტი",'[1]გამარტივებული შესყიდვა'!O:O,"3503030702"),0)</f>
        <v>0</v>
      </c>
      <c r="M87" s="25">
        <f>IF(G87="კონს. ტენდერი",SUMIFS('[1]კონსოლიდირებული ტენდერი'!L:L,'[1]კონსოლიდირებული ტენდერი'!E:E,B87,'[1]კონსოლიდირებული ტენდერი'!N:N,"სახელმწიფო ბიუჯეტი",'[1]კონსოლიდირებული ტენდერი'!O:O,"350106"),0)</f>
        <v>0</v>
      </c>
      <c r="N87" s="25">
        <f>IF(G87="კონს. ტენდერი",SUMIFS('[1]კონსოლიდირებული ტენდერი'!L:L,'[1]კონსოლიდირებული ტენდერი'!E:E,B87,'[1]კონსოლიდირებული ტენდერი'!N:N,"სახელმწიფო ბიუჯეტი",'[1]კონსოლიდირებული ტენდერი'!O:O,"3503030702"),0)</f>
        <v>0</v>
      </c>
      <c r="O87" s="25">
        <f>IF(G87="ელ. ტენდერი",SUMIFS('[1]ელ. ტენდერი'!N:N,'[1]ელ. ტენდერი'!G:G,B87,'[1]ელ. ტენდერი'!Q:Q,"სახელმწიფო ბიუჯეტი",'[1]ელ. ტენდერი'!R:R,"350106"),0)</f>
        <v>100000</v>
      </c>
      <c r="P87" s="25">
        <f>IF(G87="ელ. ტენდერი",SUMIFS('[1]ელ. ტენდერი'!N:N,'[1]ელ. ტენდერი'!G:G,'30.05.2018'!B87,'[1]ელ. ტენდერი'!Q:Q,"სახელმწიფო ბიუჯეტი",'[1]ელ. ტენდერი'!R:R,"3503030702"),0)</f>
        <v>1438800</v>
      </c>
      <c r="Q87" s="26">
        <f t="shared" si="2"/>
        <v>101200</v>
      </c>
    </row>
    <row r="88" spans="1:17" x14ac:dyDescent="0.25">
      <c r="A88" s="17">
        <v>83</v>
      </c>
      <c r="B88" s="81" t="s">
        <v>154</v>
      </c>
      <c r="C88" s="18" t="s">
        <v>25</v>
      </c>
      <c r="D88" s="31">
        <v>350106</v>
      </c>
      <c r="E88" s="20" t="s">
        <v>155</v>
      </c>
      <c r="F88" s="21">
        <v>110000</v>
      </c>
      <c r="G88" s="22" t="s">
        <v>34</v>
      </c>
      <c r="H88" s="23">
        <v>43101</v>
      </c>
      <c r="I88" s="23">
        <v>43465</v>
      </c>
      <c r="J88" s="43"/>
      <c r="K88" s="25">
        <f>IF(G88="გამ. შესყიდვა",SUMIFS('[1]გამარტივებული შესყიდვა'!L:L,'[1]გამარტივებული შესყიდვა'!K:K,B88,'[1]გამარტივებული შესყიდვა'!N:N,"სახელმწიფო ბიუჯეტი",'[1]გამარტივებული შესყიდვა'!O:O,"350106"),0)</f>
        <v>0</v>
      </c>
      <c r="L88" s="25">
        <f>IF(G88="გამ. შესყიდვა",SUMIFS('[1]გამარტივებული შესყიდვა'!L:L,'[1]გამარტივებული შესყიდვა'!K:K,B88,'[1]გამარტივებული შესყიდვა'!N:N,"სახელმწიფო ბიუჯეტი",'[1]გამარტივებული შესყიდვა'!O:O,"3503030702"),0)</f>
        <v>0</v>
      </c>
      <c r="M88" s="25">
        <f>IF(G88="კონს. ტენდერი",SUMIFS('[1]კონსოლიდირებული ტენდერი'!L:L,'[1]კონსოლიდირებული ტენდერი'!E:E,B88,'[1]კონსოლიდირებული ტენდერი'!N:N,"სახელმწიფო ბიუჯეტი",'[1]კონსოლიდირებული ტენდერი'!O:O,"350106"),0)</f>
        <v>0</v>
      </c>
      <c r="N88" s="25">
        <f>IF(G88="კონს. ტენდერი",SUMIFS('[1]კონსოლიდირებული ტენდერი'!L:L,'[1]კონსოლიდირებული ტენდერი'!E:E,B88,'[1]კონსოლიდირებული ტენდერი'!N:N,"სახელმწიფო ბიუჯეტი",'[1]კონსოლიდირებული ტენდერი'!O:O,"3503030702"),0)</f>
        <v>0</v>
      </c>
      <c r="O88" s="25">
        <f>IF(G88="ელ. ტენდერი",SUMIFS('[1]ელ. ტენდერი'!N:N,'[1]ელ. ტენდერი'!G:G,B88,'[1]ელ. ტენდერი'!Q:Q,"სახელმწიფო ბიუჯეტი",'[1]ელ. ტენდერი'!R:R,"350106"),0)</f>
        <v>100000</v>
      </c>
      <c r="P88" s="25"/>
      <c r="Q88" s="26">
        <f t="shared" si="2"/>
        <v>10000</v>
      </c>
    </row>
    <row r="89" spans="1:17" ht="25.5" x14ac:dyDescent="0.25">
      <c r="A89" s="17">
        <v>84</v>
      </c>
      <c r="B89" s="81" t="s">
        <v>157</v>
      </c>
      <c r="C89" s="18" t="s">
        <v>25</v>
      </c>
      <c r="D89" s="19">
        <v>3503030702</v>
      </c>
      <c r="E89" s="20" t="s">
        <v>158</v>
      </c>
      <c r="F89" s="21">
        <v>40000</v>
      </c>
      <c r="G89" s="22" t="s">
        <v>34</v>
      </c>
      <c r="H89" s="23">
        <v>43101</v>
      </c>
      <c r="I89" s="23">
        <v>43465</v>
      </c>
      <c r="J89" s="32"/>
      <c r="K89" s="25">
        <f>IF(G89="გამ. შესყიდვა",SUMIFS('[1]გამარტივებული შესყიდვა'!L:L,'[1]გამარტივებული შესყიდვა'!K:K,B89,'[1]გამარტივებული შესყიდვა'!N:N,"სახელმწიფო ბიუჯეტი",'[1]გამარტივებული შესყიდვა'!O:O,"350106"),0)</f>
        <v>0</v>
      </c>
      <c r="L89" s="25">
        <f>IF(G89="გამ. შესყიდვა",SUMIFS('[1]გამარტივებული შესყიდვა'!L:L,'[1]გამარტივებული შესყიდვა'!K:K,B89,'[1]გამარტივებული შესყიდვა'!N:N,"სახელმწიფო ბიუჯეტი",'[1]გამარტივებული შესყიდვა'!O:O,"3503030702"),0)</f>
        <v>0</v>
      </c>
      <c r="M89" s="25">
        <f>IF(G89="კონს. ტენდერი",SUMIFS('[1]კონსოლიდირებული ტენდერი'!L:L,'[1]კონსოლიდირებული ტენდერი'!E:E,B89,'[1]კონსოლიდირებული ტენდერი'!N:N,"სახელმწიფო ბიუჯეტი",'[1]კონსოლიდირებული ტენდერი'!O:O,"350106"),0)</f>
        <v>0</v>
      </c>
      <c r="N89" s="25">
        <f>IF(G89="კონს. ტენდერი",SUMIFS('[1]კონსოლიდირებული ტენდერი'!L:L,'[1]კონსოლიდირებული ტენდერი'!E:E,B89,'[1]კონსოლიდირებული ტენდერი'!N:N,"სახელმწიფო ბიუჯეტი",'[1]კონსოლიდირებული ტენდერი'!O:O,"3503030702"),0)</f>
        <v>0</v>
      </c>
      <c r="O89" s="25">
        <f>IF(G89="ელ. ტენდერი",SUMIFS('[1]ელ. ტენდერი'!N:N,'[1]ელ. ტენდერი'!G:G,B89,'[1]ელ. ტენდერი'!Q:Q,"სახელმწიფო ბიუჯეტი",'[1]ელ. ტენდერი'!R:R,"350106"),0)</f>
        <v>0</v>
      </c>
      <c r="P89" s="25">
        <f>IF(G89="ელ. ტენდერი",SUMIFS('[1]ელ. ტენდერი'!N:N,'[1]ელ. ტენდერი'!G:G,'30.05.2018'!B89,'[1]ელ. ტენდერი'!Q:Q,"სახელმწიფო ბიუჯეტი",'[1]ელ. ტენდერი'!R:R,"3503030702"),0)</f>
        <v>8724.7999999999993</v>
      </c>
      <c r="Q89" s="26">
        <f t="shared" si="2"/>
        <v>31275.200000000001</v>
      </c>
    </row>
    <row r="90" spans="1:17" x14ac:dyDescent="0.25">
      <c r="A90" s="17">
        <v>85</v>
      </c>
      <c r="B90" s="81" t="s">
        <v>159</v>
      </c>
      <c r="C90" s="18" t="s">
        <v>25</v>
      </c>
      <c r="D90" s="19">
        <v>3503030702</v>
      </c>
      <c r="E90" s="20" t="s">
        <v>160</v>
      </c>
      <c r="F90" s="21">
        <v>4990</v>
      </c>
      <c r="G90" s="22" t="s">
        <v>27</v>
      </c>
      <c r="H90" s="23">
        <v>43101</v>
      </c>
      <c r="I90" s="23">
        <v>43465</v>
      </c>
      <c r="J90" s="36"/>
      <c r="K90" s="25">
        <f>IF(G90="გამ. შესყიდვა",SUMIFS('[1]გამარტივებული შესყიდვა'!L:L,'[1]გამარტივებული შესყიდვა'!K:K,B90,'[1]გამარტივებული შესყიდვა'!N:N,"სახელმწიფო ბიუჯეტი",'[1]გამარტივებული შესყიდვა'!O:O,"350106"),0)</f>
        <v>0</v>
      </c>
      <c r="L90" s="25">
        <f>IF(G90="გამ. შესყიდვა",SUMIFS('[1]გამარტივებული შესყიდვა'!L:L,'[1]გამარტივებული შესყიდვა'!K:K,B90,'[1]გამარტივებული შესყიდვა'!N:N,"სახელმწიფო ბიუჯეტი",'[1]გამარტივებული შესყიდვა'!O:O,"3503030702"),0)</f>
        <v>3000</v>
      </c>
      <c r="M90" s="25">
        <f>IF(G90="კონს. ტენდერი",SUMIFS('[1]კონსოლიდირებული ტენდერი'!L:L,'[1]კონსოლიდირებული ტენდერი'!E:E,B90,'[1]კონსოლიდირებული ტენდერი'!N:N,"სახელმწიფო ბიუჯეტი",'[1]კონსოლიდირებული ტენდერი'!O:O,"350106"),0)</f>
        <v>0</v>
      </c>
      <c r="N90" s="25">
        <f>IF(G90="კონს. ტენდერი",SUMIFS('[1]კონსოლიდირებული ტენდერი'!L:L,'[1]კონსოლიდირებული ტენდერი'!E:E,B90,'[1]კონსოლიდირებული ტენდერი'!N:N,"სახელმწიფო ბიუჯეტი",'[1]კონსოლიდირებული ტენდერი'!O:O,"3503030702"),0)</f>
        <v>0</v>
      </c>
      <c r="O90" s="25">
        <f>IF(G90="ელ. ტენდერი",SUMIFS('[1]ელ. ტენდერი'!N:N,'[1]ელ. ტენდერი'!G:G,B90,'[1]ელ. ტენდერი'!Q:Q,"სახელმწიფო ბიუჯეტი",'[1]ელ. ტენდერი'!R:R,"350106"),0)</f>
        <v>0</v>
      </c>
      <c r="P90" s="25">
        <f>IF(G90="ელ. ტენდერი",SUMIFS('[1]ელ. ტენდერი'!N:N,'[1]ელ. ტენდერი'!G:G,'30.05.2018'!B90,'[1]ელ. ტენდერი'!Q:Q,"სახელმწიფო ბიუჯეტი",'[1]ელ. ტენდერი'!R:R,"3503030702"),0)</f>
        <v>0</v>
      </c>
      <c r="Q90" s="26">
        <f t="shared" si="2"/>
        <v>1990</v>
      </c>
    </row>
    <row r="91" spans="1:17" x14ac:dyDescent="0.25">
      <c r="A91" s="17">
        <v>86</v>
      </c>
      <c r="B91" s="81" t="s">
        <v>161</v>
      </c>
      <c r="C91" s="18" t="s">
        <v>25</v>
      </c>
      <c r="D91" s="19">
        <v>3503030702</v>
      </c>
      <c r="E91" s="20" t="s">
        <v>162</v>
      </c>
      <c r="F91" s="21">
        <v>1000</v>
      </c>
      <c r="G91" s="22" t="s">
        <v>27</v>
      </c>
      <c r="H91" s="23">
        <v>43138</v>
      </c>
      <c r="I91" s="23">
        <v>43465</v>
      </c>
      <c r="J91" s="36"/>
      <c r="K91" s="25">
        <f>IF(G91="გამ. შესყიდვა",SUMIFS('[1]გამარტივებული შესყიდვა'!L:L,'[1]გამარტივებული შესყიდვა'!K:K,B91,'[1]გამარტივებული შესყიდვა'!N:N,"სახელმწიფო ბიუჯეტი",'[1]გამარტივებული შესყიდვა'!O:O,"350106"),0)</f>
        <v>0</v>
      </c>
      <c r="L91" s="25">
        <f>IF(G91="გამ. შესყიდვა",SUMIFS('[1]გამარტივებული შესყიდვა'!L:L,'[1]გამარტივებული შესყიდვა'!K:K,B91,'[1]გამარტივებული შესყიდვა'!N:N,"სახელმწიფო ბიუჯეტი",'[1]გამარტივებული შესყიდვა'!O:O,"3503030702"),0)</f>
        <v>320</v>
      </c>
      <c r="M91" s="25">
        <f>IF(G91="კონს. ტენდერი",SUMIFS('[1]კონსოლიდირებული ტენდერი'!L:L,'[1]კონსოლიდირებული ტენდერი'!E:E,B91,'[1]კონსოლიდირებული ტენდერი'!N:N,"სახელმწიფო ბიუჯეტი",'[1]კონსოლიდირებული ტენდერი'!O:O,"350106"),0)</f>
        <v>0</v>
      </c>
      <c r="N91" s="25">
        <f>IF(G91="კონს. ტენდერი",SUMIFS('[1]კონსოლიდირებული ტენდერი'!L:L,'[1]კონსოლიდირებული ტენდერი'!E:E,B91,'[1]კონსოლიდირებული ტენდერი'!N:N,"სახელმწიფო ბიუჯეტი",'[1]კონსოლიდირებული ტენდერი'!O:O,"3503030702"),0)</f>
        <v>0</v>
      </c>
      <c r="O91" s="25">
        <f>IF(G91="ელ. ტენდერი",SUMIFS('[1]ელ. ტენდერი'!N:N,'[1]ელ. ტენდერი'!G:G,B91,'[1]ელ. ტენდერი'!Q:Q,"სახელმწიფო ბიუჯეტი",'[1]ელ. ტენდერი'!R:R,"350106"),0)</f>
        <v>0</v>
      </c>
      <c r="P91" s="25">
        <f>IF(G91="ელ. ტენდერი",SUMIFS('[1]ელ. ტენდერი'!N:N,'[1]ელ. ტენდერი'!G:G,'30.05.2018'!B91,'[1]ელ. ტენდერი'!Q:Q,"სახელმწიფო ბიუჯეტი",'[1]ელ. ტენდერი'!R:R,"3503030702"),0)</f>
        <v>0</v>
      </c>
      <c r="Q91" s="26">
        <f t="shared" si="2"/>
        <v>680</v>
      </c>
    </row>
    <row r="92" spans="1:17" x14ac:dyDescent="0.25">
      <c r="A92" s="17">
        <v>87</v>
      </c>
      <c r="B92" s="81" t="s">
        <v>163</v>
      </c>
      <c r="C92" s="18" t="s">
        <v>25</v>
      </c>
      <c r="D92" s="19">
        <v>350106</v>
      </c>
      <c r="E92" s="20" t="s">
        <v>164</v>
      </c>
      <c r="F92" s="21">
        <v>2990</v>
      </c>
      <c r="G92" s="22" t="s">
        <v>27</v>
      </c>
      <c r="H92" s="23">
        <v>43101</v>
      </c>
      <c r="I92" s="23">
        <v>43465</v>
      </c>
      <c r="J92" s="36"/>
      <c r="K92" s="25">
        <f>IF(G92="გამ. შესყიდვა",SUMIFS('[1]გამარტივებული შესყიდვა'!L:L,'[1]გამარტივებული შესყიდვა'!K:K,B92,'[1]გამარტივებული შესყიდვა'!N:N,"სახელმწიფო ბიუჯეტი",'[1]გამარტივებული შესყიდვა'!O:O,"350106"),0)</f>
        <v>1440</v>
      </c>
      <c r="L92" s="25">
        <f>IF(G92="გამ. შესყიდვა",SUMIFS('[1]გამარტივებული შესყიდვა'!L:L,'[1]გამარტივებული შესყიდვა'!K:K,B92,'[1]გამარტივებული შესყიდვა'!N:N,"სახელმწიფო ბიუჯეტი",'[1]გამარტივებული შესყიდვა'!O:O,"3503030702"),0)</f>
        <v>0</v>
      </c>
      <c r="M92" s="25">
        <f>IF(G92="კონს. ტენდერი",SUMIFS('[1]კონსოლიდირებული ტენდერი'!L:L,'[1]კონსოლიდირებული ტენდერი'!E:E,B92,'[1]კონსოლიდირებული ტენდერი'!N:N,"სახელმწიფო ბიუჯეტი",'[1]კონსოლიდირებული ტენდერი'!O:O,"350106"),0)</f>
        <v>0</v>
      </c>
      <c r="N92" s="25">
        <f>IF(G92="კონს. ტენდერი",SUMIFS('[1]კონსოლიდირებული ტენდერი'!L:L,'[1]კონსოლიდირებული ტენდერი'!E:E,B92,'[1]კონსოლიდირებული ტენდერი'!N:N,"სახელმწიფო ბიუჯეტი",'[1]კონსოლიდირებული ტენდერი'!O:O,"3503030702"),0)</f>
        <v>0</v>
      </c>
      <c r="O92" s="25">
        <f>IF(G92="ელ. ტენდერი",SUMIFS('[1]ელ. ტენდერი'!N:N,'[1]ელ. ტენდერი'!G:G,B92,'[1]ელ. ტენდერი'!Q:Q,"სახელმწიფო ბიუჯეტი",'[1]ელ. ტენდერი'!R:R,"350106"),0)</f>
        <v>0</v>
      </c>
      <c r="P92" s="25">
        <f>IF(G92="ელ. ტენდერი",SUMIFS('[1]ელ. ტენდერი'!N:N,'[1]ელ. ტენდერი'!G:G,'30.05.2018'!B92,'[1]ელ. ტენდერი'!Q:Q,"სახელმწიფო ბიუჯეტი",'[1]ელ. ტენდერი'!R:R,"3503030702"),0)</f>
        <v>0</v>
      </c>
      <c r="Q92" s="26">
        <f t="shared" si="2"/>
        <v>1550</v>
      </c>
    </row>
    <row r="93" spans="1:17" x14ac:dyDescent="0.25">
      <c r="A93" s="17">
        <v>88</v>
      </c>
      <c r="B93" s="81" t="s">
        <v>163</v>
      </c>
      <c r="C93" s="18" t="s">
        <v>25</v>
      </c>
      <c r="D93" s="19">
        <v>3503030702</v>
      </c>
      <c r="E93" s="20" t="s">
        <v>164</v>
      </c>
      <c r="F93" s="21">
        <v>2000</v>
      </c>
      <c r="G93" s="22" t="s">
        <v>27</v>
      </c>
      <c r="H93" s="23">
        <v>43101</v>
      </c>
      <c r="I93" s="23">
        <v>43465</v>
      </c>
      <c r="J93" s="36"/>
      <c r="K93" s="25">
        <f>IF(G93="გამ. შესყიდვა",SUMIFS('[1]გამარტივებული შესყიდვა'!L:L,'[1]გამარტივებული შესყიდვა'!K:K,B93,'[1]გამარტივებული შესყიდვა'!N:N,"სახელმწიფო ბიუჯეტი",'[1]გამარტივებული შესყიდვა'!O:O,"350106"),0)</f>
        <v>1440</v>
      </c>
      <c r="L93" s="25">
        <f>IF(G93="გამ. შესყიდვა",SUMIFS('[1]გამარტივებული შესყიდვა'!L:L,'[1]გამარტივებული შესყიდვა'!K:K,B93,'[1]გამარტივებული შესყიდვა'!N:N,"სახელმწიფო ბიუჯეტი",'[1]გამარტივებული შესყიდვა'!O:O,"3503030702"),0)</f>
        <v>0</v>
      </c>
      <c r="M93" s="25">
        <f>IF(G93="კონს. ტენდერი",SUMIFS('[1]კონსოლიდირებული ტენდერი'!L:L,'[1]კონსოლიდირებული ტენდერი'!E:E,B93,'[1]კონსოლიდირებული ტენდერი'!N:N,"სახელმწიფო ბიუჯეტი",'[1]კონსოლიდირებული ტენდერი'!O:O,"350106"),0)</f>
        <v>0</v>
      </c>
      <c r="N93" s="25">
        <f>IF(G93="კონს. ტენდერი",SUMIFS('[1]კონსოლიდირებული ტენდერი'!L:L,'[1]კონსოლიდირებული ტენდერი'!E:E,B93,'[1]კონსოლიდირებული ტენდერი'!N:N,"სახელმწიფო ბიუჯეტი",'[1]კონსოლიდირებული ტენდერი'!O:O,"3503030702"),0)</f>
        <v>0</v>
      </c>
      <c r="O93" s="25">
        <f>IF(G93="ელ. ტენდერი",SUMIFS('[1]ელ. ტენდერი'!N:N,'[1]ელ. ტენდერი'!G:G,B93,'[1]ელ. ტენდერი'!Q:Q,"სახელმწიფო ბიუჯეტი",'[1]ელ. ტენდერი'!R:R,"350106"),0)</f>
        <v>0</v>
      </c>
      <c r="P93" s="25">
        <f>IF(G93="ელ. ტენდერი",SUMIFS('[1]ელ. ტენდერი'!N:N,'[1]ელ. ტენდერი'!G:G,'30.05.2018'!B93,'[1]ელ. ტენდერი'!Q:Q,"სახელმწიფო ბიუჯეტი",'[1]ელ. ტენდერი'!R:R,"3503030702"),0)</f>
        <v>0</v>
      </c>
      <c r="Q93" s="26">
        <f t="shared" si="2"/>
        <v>560</v>
      </c>
    </row>
    <row r="94" spans="1:17" x14ac:dyDescent="0.25">
      <c r="A94" s="17">
        <v>89</v>
      </c>
      <c r="B94" s="81" t="s">
        <v>165</v>
      </c>
      <c r="C94" s="18" t="s">
        <v>25</v>
      </c>
      <c r="D94" s="19">
        <v>3503030702</v>
      </c>
      <c r="E94" s="20" t="s">
        <v>166</v>
      </c>
      <c r="F94" s="21">
        <v>4990</v>
      </c>
      <c r="G94" s="22" t="s">
        <v>27</v>
      </c>
      <c r="H94" s="23">
        <v>43101</v>
      </c>
      <c r="I94" s="23">
        <v>43465</v>
      </c>
      <c r="J94" s="36"/>
      <c r="K94" s="25">
        <f>IF(G94="გამ. შესყიდვა",SUMIFS('[1]გამარტივებული შესყიდვა'!L:L,'[1]გამარტივებული შესყიდვა'!K:K,B94,'[1]გამარტივებული შესყიდვა'!N:N,"სახელმწიფო ბიუჯეტი",'[1]გამარტივებული შესყიდვა'!O:O,"350106"),0)</f>
        <v>0</v>
      </c>
      <c r="L94" s="25">
        <f>IF(G94="გამ. შესყიდვა",SUMIFS('[1]გამარტივებული შესყიდვა'!L:L,'[1]გამარტივებული შესყიდვა'!K:K,B94,'[1]გამარტივებული შესყიდვა'!N:N,"სახელმწიფო ბიუჯეტი",'[1]გამარტივებული შესყიდვა'!O:O,"3503030702"),0)</f>
        <v>0</v>
      </c>
      <c r="M94" s="25">
        <f>IF(G94="კონს. ტენდერი",SUMIFS('[1]კონსოლიდირებული ტენდერი'!L:L,'[1]კონსოლიდირებული ტენდერი'!E:E,B94,'[1]კონსოლიდირებული ტენდერი'!N:N,"სახელმწიფო ბიუჯეტი",'[1]კონსოლიდირებული ტენდერი'!O:O,"350106"),0)</f>
        <v>0</v>
      </c>
      <c r="N94" s="25">
        <f>IF(G94="კონს. ტენდერი",SUMIFS('[1]კონსოლიდირებული ტენდერი'!L:L,'[1]კონსოლიდირებული ტენდერი'!E:E,B94,'[1]კონსოლიდირებული ტენდერი'!N:N,"სახელმწიფო ბიუჯეტი",'[1]კონსოლიდირებული ტენდერი'!O:O,"3503030702"),0)</f>
        <v>0</v>
      </c>
      <c r="O94" s="25">
        <f>IF(G94="ელ. ტენდერი",SUMIFS('[1]ელ. ტენდერი'!N:N,'[1]ელ. ტენდერი'!G:G,B94,'[1]ელ. ტენდერი'!Q:Q,"სახელმწიფო ბიუჯეტი",'[1]ელ. ტენდერი'!R:R,"350106"),0)</f>
        <v>0</v>
      </c>
      <c r="P94" s="25">
        <f>IF(G94="ელ. ტენდერი",SUMIFS('[1]ელ. ტენდერი'!N:N,'[1]ელ. ტენდერი'!G:G,'30.05.2018'!B94,'[1]ელ. ტენდერი'!Q:Q,"სახელმწიფო ბიუჯეტი",'[1]ელ. ტენდერი'!R:R,"3503030702"),0)</f>
        <v>0</v>
      </c>
      <c r="Q94" s="26">
        <f t="shared" si="2"/>
        <v>4990</v>
      </c>
    </row>
    <row r="95" spans="1:17" x14ac:dyDescent="0.25">
      <c r="A95" s="17">
        <v>90</v>
      </c>
      <c r="B95" s="81" t="s">
        <v>167</v>
      </c>
      <c r="C95" s="18" t="s">
        <v>25</v>
      </c>
      <c r="D95" s="31">
        <v>350106</v>
      </c>
      <c r="E95" s="20" t="s">
        <v>168</v>
      </c>
      <c r="F95" s="21">
        <v>4990</v>
      </c>
      <c r="G95" s="22" t="s">
        <v>27</v>
      </c>
      <c r="H95" s="23">
        <v>43101</v>
      </c>
      <c r="I95" s="23">
        <v>43465</v>
      </c>
      <c r="J95" s="44"/>
      <c r="K95" s="25">
        <f>IF(G95="გამ. შესყიდვა",SUMIFS('[1]გამარტივებული შესყიდვა'!L:L,'[1]გამარტივებული შესყიდვა'!K:K,B95,'[1]გამარტივებული შესყიდვა'!N:N,"სახელმწიფო ბიუჯეტი",'[1]გამარტივებული შესყიდვა'!O:O,"350106"),0)</f>
        <v>2213</v>
      </c>
      <c r="L95" s="25">
        <f>IF(G95="გამ. შესყიდვა",SUMIFS('[1]გამარტივებული შესყიდვა'!L:L,'[1]გამარტივებული შესყიდვა'!K:K,B95,'[1]გამარტივებული შესყიდვა'!N:N,"სახელმწიფო ბიუჯეტი",'[1]გამარტივებული შესყიდვა'!O:O,"3503030702"),0)</f>
        <v>0</v>
      </c>
      <c r="M95" s="25">
        <f>IF(G95="კონს. ტენდერი",SUMIFS('[1]კონსოლიდირებული ტენდერი'!L:L,'[1]კონსოლიდირებული ტენდერი'!E:E,B95,'[1]კონსოლიდირებული ტენდერი'!N:N,"სახელმწიფო ბიუჯეტი",'[1]კონსოლიდირებული ტენდერი'!O:O,"350106"),0)</f>
        <v>0</v>
      </c>
      <c r="N95" s="25">
        <f>IF(G95="კონს. ტენდერი",SUMIFS('[1]კონსოლიდირებული ტენდერი'!L:L,'[1]კონსოლიდირებული ტენდერი'!E:E,B95,'[1]კონსოლიდირებული ტენდერი'!N:N,"სახელმწიფო ბიუჯეტი",'[1]კონსოლიდირებული ტენდერი'!O:O,"3503030702"),0)</f>
        <v>0</v>
      </c>
      <c r="O95" s="25">
        <f>IF(G95="ელ. ტენდერი",SUMIFS('[1]ელ. ტენდერი'!N:N,'[1]ელ. ტენდერი'!G:G,B95,'[1]ელ. ტენდერი'!Q:Q,"სახელმწიფო ბიუჯეტი",'[1]ელ. ტენდერი'!R:R,"350106"),0)</f>
        <v>0</v>
      </c>
      <c r="P95" s="25">
        <f>IF(G95="ელ. ტენდერი",SUMIFS('[1]ელ. ტენდერი'!N:N,'[1]ელ. ტენდერი'!G:G,'30.05.2018'!B95,'[1]ელ. ტენდერი'!Q:Q,"სახელმწიფო ბიუჯეტი",'[1]ელ. ტენდერი'!R:R,"3503030702"),0)</f>
        <v>0</v>
      </c>
      <c r="Q95" s="26">
        <f t="shared" si="2"/>
        <v>2777</v>
      </c>
    </row>
    <row r="96" spans="1:17" s="45" customFormat="1" x14ac:dyDescent="0.25">
      <c r="A96" s="17">
        <v>91</v>
      </c>
      <c r="B96" s="81" t="s">
        <v>169</v>
      </c>
      <c r="C96" s="18" t="s">
        <v>25</v>
      </c>
      <c r="D96" s="31">
        <v>350106</v>
      </c>
      <c r="E96" s="20" t="s">
        <v>170</v>
      </c>
      <c r="F96" s="21">
        <v>20000</v>
      </c>
      <c r="G96" s="22" t="s">
        <v>34</v>
      </c>
      <c r="H96" s="23">
        <v>43101</v>
      </c>
      <c r="I96" s="23">
        <v>43465</v>
      </c>
      <c r="J96" s="36"/>
      <c r="K96" s="25">
        <f>IF(G96="გამ. შესყიდვა",SUMIFS('[1]გამარტივებული შესყიდვა'!L:L,'[1]გამარტივებული შესყიდვა'!K:K,B96,'[1]გამარტივებული შესყიდვა'!N:N,"სახელმწიფო ბიუჯეტი",'[1]გამარტივებული შესყიდვა'!O:O,"350106"),0)</f>
        <v>0</v>
      </c>
      <c r="L96" s="25">
        <f>IF(G96="გამ. შესყიდვა",SUMIFS('[1]გამარტივებული შესყიდვა'!L:L,'[1]გამარტივებული შესყიდვა'!K:K,B96,'[1]გამარტივებული შესყიდვა'!N:N,"სახელმწიფო ბიუჯეტი",'[1]გამარტივებული შესყიდვა'!O:O,"3503030702"),0)</f>
        <v>0</v>
      </c>
      <c r="M96" s="25">
        <f>IF(G96="კონს. ტენდერი",SUMIFS('[1]კონსოლიდირებული ტენდერი'!L:L,'[1]კონსოლიდირებული ტენდერი'!E:E,B96,'[1]კონსოლიდირებული ტენდერი'!N:N,"სახელმწიფო ბიუჯეტი",'[1]კონსოლიდირებული ტენდერი'!O:O,"350106"),0)</f>
        <v>0</v>
      </c>
      <c r="N96" s="25">
        <f>IF(G96="კონს. ტენდერი",SUMIFS('[1]კონსოლიდირებული ტენდერი'!L:L,'[1]კონსოლიდირებული ტენდერი'!E:E,B96,'[1]კონსოლიდირებული ტენდერი'!N:N,"სახელმწიფო ბიუჯეტი",'[1]კონსოლიდირებული ტენდერი'!O:O,"3503030702"),0)</f>
        <v>0</v>
      </c>
      <c r="O96" s="25">
        <f>IF(G96="ელ. ტენდერი",SUMIFS('[1]ელ. ტენდერი'!N:N,'[1]ელ. ტენდერი'!G:G,B96,'[1]ელ. ტენდერი'!Q:Q,"სახელმწიფო ბიუჯეტი",'[1]ელ. ტენდერი'!R:R,"350106"),0)</f>
        <v>10000</v>
      </c>
      <c r="P96" s="25">
        <f>IF(G96="ელ. ტენდერი",SUMIFS('[1]ელ. ტენდერი'!N:N,'[1]ელ. ტენდერი'!G:G,'30.05.2018'!B96,'[1]ელ. ტენდერი'!Q:Q,"სახელმწიფო ბიუჯეტი",'[1]ელ. ტენდერი'!R:R,"3503030702"),0)</f>
        <v>0</v>
      </c>
      <c r="Q96" s="26">
        <f t="shared" si="2"/>
        <v>10000</v>
      </c>
    </row>
    <row r="97" spans="1:17" x14ac:dyDescent="0.25">
      <c r="A97" s="17">
        <v>92</v>
      </c>
      <c r="B97" s="81" t="s">
        <v>171</v>
      </c>
      <c r="C97" s="18" t="s">
        <v>25</v>
      </c>
      <c r="D97" s="19">
        <v>3503030702</v>
      </c>
      <c r="E97" s="20" t="s">
        <v>172</v>
      </c>
      <c r="F97" s="21">
        <v>4990</v>
      </c>
      <c r="G97" s="22" t="s">
        <v>27</v>
      </c>
      <c r="H97" s="23">
        <v>43101</v>
      </c>
      <c r="I97" s="23">
        <v>43465</v>
      </c>
      <c r="J97" s="36"/>
      <c r="K97" s="25">
        <f>IF(G97="გამ. შესყიდვა",SUMIFS('[1]გამარტივებული შესყიდვა'!L:L,'[1]გამარტივებული შესყიდვა'!K:K,B97,'[1]გამარტივებული შესყიდვა'!N:N,"სახელმწიფო ბიუჯეტი",'[1]გამარტივებული შესყიდვა'!O:O,"350106"),0)</f>
        <v>0</v>
      </c>
      <c r="L97" s="25">
        <f>IF(G97="გამ. შესყიდვა",SUMIFS('[1]გამარტივებული შესყიდვა'!L:L,'[1]გამარტივებული შესყიდვა'!K:K,B97,'[1]გამარტივებული შესყიდვა'!N:N,"სახელმწიფო ბიუჯეტი",'[1]გამარტივებული შესყიდვა'!O:O,"3503030702"),0)</f>
        <v>350</v>
      </c>
      <c r="M97" s="25">
        <f>IF(G97="კონს. ტენდერი",SUMIFS('[1]კონსოლიდირებული ტენდერი'!L:L,'[1]კონსოლიდირებული ტენდერი'!E:E,B97,'[1]კონსოლიდირებული ტენდერი'!N:N,"სახელმწიფო ბიუჯეტი",'[1]კონსოლიდირებული ტენდერი'!O:O,"350106"),0)</f>
        <v>0</v>
      </c>
      <c r="N97" s="25">
        <f>IF(G97="კონს. ტენდერი",SUMIFS('[1]კონსოლიდირებული ტენდერი'!L:L,'[1]კონსოლიდირებული ტენდერი'!E:E,B97,'[1]კონსოლიდირებული ტენდერი'!N:N,"სახელმწიფო ბიუჯეტი",'[1]კონსოლიდირებული ტენდერი'!O:O,"3503030702"),0)</f>
        <v>0</v>
      </c>
      <c r="O97" s="25">
        <f>IF(G97="ელ. ტენდერი",SUMIFS('[1]ელ. ტენდერი'!N:N,'[1]ელ. ტენდერი'!G:G,B97,'[1]ელ. ტენდერი'!Q:Q,"სახელმწიფო ბიუჯეტი",'[1]ელ. ტენდერი'!R:R,"350106"),0)</f>
        <v>0</v>
      </c>
      <c r="P97" s="25">
        <f>IF(G97="ელ. ტენდერი",SUMIFS('[1]ელ. ტენდერი'!N:N,'[1]ელ. ტენდერი'!G:G,'30.05.2018'!B97,'[1]ელ. ტენდერი'!Q:Q,"სახელმწიფო ბიუჯეტი",'[1]ელ. ტენდერი'!R:R,"3503030702"),0)</f>
        <v>0</v>
      </c>
      <c r="Q97" s="26">
        <f t="shared" si="2"/>
        <v>4640</v>
      </c>
    </row>
    <row r="98" spans="1:17" x14ac:dyDescent="0.25">
      <c r="A98" s="17">
        <v>93</v>
      </c>
      <c r="B98" s="81" t="s">
        <v>173</v>
      </c>
      <c r="C98" s="18" t="s">
        <v>25</v>
      </c>
      <c r="D98" s="19">
        <v>3503030702</v>
      </c>
      <c r="E98" s="46" t="s">
        <v>174</v>
      </c>
      <c r="F98" s="21">
        <v>70000</v>
      </c>
      <c r="G98" s="22" t="s">
        <v>27</v>
      </c>
      <c r="H98" s="23">
        <v>43101</v>
      </c>
      <c r="I98" s="23">
        <v>43465</v>
      </c>
      <c r="J98" s="47" t="s">
        <v>39</v>
      </c>
      <c r="K98" s="25">
        <f>IF(G98="გამ. შესყიდვა",SUMIFS('[1]გამარტივებული შესყიდვა'!L:L,'[1]გამარტივებული შესყიდვა'!K:K,B98,'[1]გამარტივებული შესყიდვა'!N:N,"სახელმწიფო ბიუჯეტი",'[1]გამარტივებული შესყიდვა'!O:O,"350106"),0)</f>
        <v>0</v>
      </c>
      <c r="L98" s="25">
        <f>IF(G98="გამ. შესყიდვა",SUMIFS('[1]გამარტივებული შესყიდვა'!L:L,'[1]გამარტივებული შესყიდვა'!K:K,B98,'[1]გამარტივებული შესყიდვა'!N:N,"სახელმწიფო ბიუჯეტი",'[1]გამარტივებული შესყიდვა'!O:O,"3503030702"),0)</f>
        <v>0</v>
      </c>
      <c r="M98" s="25">
        <f>IF(G98="კონს. ტენდერი",SUMIFS('[1]კონსოლიდირებული ტენდერი'!L:L,'[1]კონსოლიდირებული ტენდერი'!E:E,B98,'[1]კონსოლიდირებული ტენდერი'!N:N,"სახელმწიფო ბიუჯეტი",'[1]კონსოლიდირებული ტენდერი'!O:O,"350106"),0)</f>
        <v>0</v>
      </c>
      <c r="N98" s="25">
        <f>IF(G98="კონს. ტენდერი",SUMIFS('[1]კონსოლიდირებული ტენდერი'!L:L,'[1]კონსოლიდირებული ტენდერი'!E:E,B98,'[1]კონსოლიდირებული ტენდერი'!N:N,"სახელმწიფო ბიუჯეტი",'[1]კონსოლიდირებული ტენდერი'!O:O,"3503030702"),0)</f>
        <v>0</v>
      </c>
      <c r="O98" s="25">
        <f>IF(G98="ელ. ტენდერი",SUMIFS('[1]ელ. ტენდერი'!N:N,'[1]ელ. ტენდერი'!G:G,B98,'[1]ელ. ტენდერი'!Q:Q,"სახელმწიფო ბიუჯეტი",'[1]ელ. ტენდერი'!R:R,"350106"),0)</f>
        <v>0</v>
      </c>
      <c r="P98" s="25">
        <f>IF(G98="ელ. ტენდერი",SUMIFS('[1]ელ. ტენდერი'!N:N,'[1]ელ. ტენდერი'!G:G,'30.05.2018'!B98,'[1]ელ. ტენდერი'!Q:Q,"სახელმწიფო ბიუჯეტი",'[1]ელ. ტენდერი'!R:R,"3503030702"),0)</f>
        <v>0</v>
      </c>
      <c r="Q98" s="26">
        <f t="shared" si="2"/>
        <v>70000</v>
      </c>
    </row>
    <row r="99" spans="1:17" x14ac:dyDescent="0.25">
      <c r="A99" s="17">
        <v>94</v>
      </c>
      <c r="B99" s="81" t="s">
        <v>175</v>
      </c>
      <c r="C99" s="18" t="s">
        <v>25</v>
      </c>
      <c r="D99" s="31">
        <v>350106</v>
      </c>
      <c r="E99" s="48" t="s">
        <v>176</v>
      </c>
      <c r="F99" s="21">
        <v>4990</v>
      </c>
      <c r="G99" s="22" t="s">
        <v>27</v>
      </c>
      <c r="H99" s="23">
        <v>43101</v>
      </c>
      <c r="I99" s="23">
        <v>43465</v>
      </c>
      <c r="J99" s="36"/>
      <c r="K99" s="25">
        <f>IF(G99="გამ. შესყიდვა",SUMIFS('[1]გამარტივებული შესყიდვა'!L:L,'[1]გამარტივებული შესყიდვა'!K:K,B99,'[1]გამარტივებული შესყიდვა'!N:N,"სახელმწიფო ბიუჯეტი",'[1]გამარტივებული შესყიდვა'!O:O,"350106"),0)</f>
        <v>200</v>
      </c>
      <c r="L99" s="25">
        <f>IF(G99="გამ. შესყიდვა",SUMIFS('[1]გამარტივებული შესყიდვა'!L:L,'[1]გამარტივებული შესყიდვა'!K:K,B99,'[1]გამარტივებული შესყიდვა'!N:N,"სახელმწიფო ბიუჯეტი",'[1]გამარტივებული შესყიდვა'!O:O,"3503030702"),0)</f>
        <v>0</v>
      </c>
      <c r="M99" s="25">
        <f>IF(G99="კონს. ტენდერი",SUMIFS('[1]კონსოლიდირებული ტენდერი'!L:L,'[1]კონსოლიდირებული ტენდერი'!E:E,B99,'[1]კონსოლიდირებული ტენდერი'!N:N,"სახელმწიფო ბიუჯეტი",'[1]კონსოლიდირებული ტენდერი'!O:O,"350106"),0)</f>
        <v>0</v>
      </c>
      <c r="N99" s="25">
        <f>IF(G99="კონს. ტენდერი",SUMIFS('[1]კონსოლიდირებული ტენდერი'!L:L,'[1]კონსოლიდირებული ტენდერი'!E:E,B99,'[1]კონსოლიდირებული ტენდერი'!N:N,"სახელმწიფო ბიუჯეტი",'[1]კონსოლიდირებული ტენდერი'!O:O,"3503030702"),0)</f>
        <v>0</v>
      </c>
      <c r="O99" s="25">
        <f>IF(G99="ელ. ტენდერი",SUMIFS('[1]ელ. ტენდერი'!N:N,'[1]ელ. ტენდერი'!G:G,B99,'[1]ელ. ტენდერი'!Q:Q,"სახელმწიფო ბიუჯეტი",'[1]ელ. ტენდერი'!R:R,"350106"),0)</f>
        <v>0</v>
      </c>
      <c r="P99" s="25">
        <f>IF(G99="ელ. ტენდერი",SUMIFS('[1]ელ. ტენდერი'!N:N,'[1]ელ. ტენდერი'!G:G,'30.05.2018'!B99,'[1]ელ. ტენდერი'!Q:Q,"სახელმწიფო ბიუჯეტი",'[1]ელ. ტენდერი'!R:R,"3503030702"),0)</f>
        <v>0</v>
      </c>
      <c r="Q99" s="26">
        <f t="shared" si="2"/>
        <v>4790</v>
      </c>
    </row>
    <row r="100" spans="1:17" x14ac:dyDescent="0.25">
      <c r="A100" s="17">
        <v>95</v>
      </c>
      <c r="B100" s="81" t="s">
        <v>177</v>
      </c>
      <c r="C100" s="18" t="s">
        <v>25</v>
      </c>
      <c r="D100" s="19">
        <v>3503030702</v>
      </c>
      <c r="E100" s="20" t="s">
        <v>178</v>
      </c>
      <c r="F100" s="21">
        <f>66000+15100-13275</f>
        <v>67825</v>
      </c>
      <c r="G100" s="22" t="s">
        <v>34</v>
      </c>
      <c r="H100" s="23">
        <v>43101</v>
      </c>
      <c r="I100" s="23">
        <v>43465</v>
      </c>
      <c r="J100" s="36"/>
      <c r="K100" s="25">
        <f>IF(G100="გამ. შესყიდვა",SUMIFS('[1]გამარტივებული შესყიდვა'!L:L,'[1]გამარტივებული შესყიდვა'!K:K,B100,'[1]გამარტივებული შესყიდვა'!N:N,"სახელმწიფო ბიუჯეტი",'[1]გამარტივებული შესყიდვა'!O:O,"350106"),0)</f>
        <v>0</v>
      </c>
      <c r="L100" s="25">
        <f>IF(G100="გამ. შესყიდვა",SUMIFS('[1]გამარტივებული შესყიდვა'!L:L,'[1]გამარტივებული შესყიდვა'!K:K,B100,'[1]გამარტივებული შესყიდვა'!N:N,"სახელმწიფო ბიუჯეტი",'[1]გამარტივებული შესყიდვა'!O:O,"3503030702"),0)</f>
        <v>0</v>
      </c>
      <c r="M100" s="25">
        <f>IF(G100="კონს. ტენდერი",SUMIFS('[1]კონსოლიდირებული ტენდერი'!L:L,'[1]კონსოლიდირებული ტენდერი'!E:E,B100,'[1]კონსოლიდირებული ტენდერი'!N:N,"სახელმწიფო ბიუჯეტი",'[1]კონსოლიდირებული ტენდერი'!O:O,"350106"),0)</f>
        <v>0</v>
      </c>
      <c r="N100" s="25">
        <f>IF(G100="კონს. ტენდერი",SUMIFS('[1]კონსოლიდირებული ტენდერი'!L:L,'[1]კონსოლიდირებული ტენდერი'!E:E,B100,'[1]კონსოლიდირებული ტენდერი'!N:N,"სახელმწიფო ბიუჯეტი",'[1]კონსოლიდირებული ტენდერი'!O:O,"3503030702"),0)</f>
        <v>0</v>
      </c>
      <c r="O100" s="25">
        <f>IF(G100="ელ. ტენდერი",SUMIFS('[1]ელ. ტენდერი'!N:N,'[1]ელ. ტენდერი'!G:G,B100,'[1]ელ. ტენდერი'!Q:Q,"სახელმწიფო ბიუჯეტი",'[1]ელ. ტენდერი'!R:R,"350106"),0)</f>
        <v>0</v>
      </c>
      <c r="P100" s="25">
        <f>IF(G100="ელ. ტენდერი",SUMIFS('[1]ელ. ტენდერი'!N:N,'[1]ელ. ტენდერი'!G:G,'30.05.2018'!B100,'[1]ელ. ტენდერი'!Q:Q,"სახელმწიფო ბიუჯეტი",'[1]ელ. ტენდერი'!R:R,"3503030702"),0)</f>
        <v>57923.25</v>
      </c>
      <c r="Q100" s="26">
        <f t="shared" si="2"/>
        <v>9901.75</v>
      </c>
    </row>
    <row r="101" spans="1:17" x14ac:dyDescent="0.25">
      <c r="A101" s="17">
        <v>96</v>
      </c>
      <c r="B101" s="81" t="s">
        <v>177</v>
      </c>
      <c r="C101" s="18" t="s">
        <v>25</v>
      </c>
      <c r="D101" s="19">
        <v>3503030702</v>
      </c>
      <c r="E101" s="49" t="s">
        <v>178</v>
      </c>
      <c r="F101" s="50">
        <v>13275</v>
      </c>
      <c r="G101" s="42" t="s">
        <v>27</v>
      </c>
      <c r="H101" s="23">
        <v>43101</v>
      </c>
      <c r="I101" s="23">
        <v>43190</v>
      </c>
      <c r="J101" s="47" t="s">
        <v>179</v>
      </c>
      <c r="K101" s="25">
        <f>IF(G101="გამ. შესყიდვა",SUMIFS('[1]გამარტივებული შესყიდვა'!L:L,'[1]გამარტივებული შესყიდვა'!K:K,B101,'[1]გამარტივებული შესყიდვა'!N:N,"სახელმწიფო ბიუჯეტი",'[1]გამარტივებული შესყიდვა'!O:O,"350106"),0)</f>
        <v>0</v>
      </c>
      <c r="L101" s="25">
        <f>IF(G101="გამ. შესყიდვა",SUMIFS('[1]გამარტივებული შესყიდვა'!L:L,'[1]გამარტივებული შესყიდვა'!K:K,B101,'[1]გამარტივებული შესყიდვა'!N:N,"სახელმწიფო ბიუჯეტი",'[1]გამარტივებული შესყიდვა'!O:O,"3503030702"),0)</f>
        <v>13275</v>
      </c>
      <c r="M101" s="25">
        <f>IF(G101="კონს. ტენდერი",SUMIFS('[1]კონსოლიდირებული ტენდერი'!L:L,'[1]კონსოლიდირებული ტენდერი'!E:E,B101,'[1]კონსოლიდირებული ტენდერი'!N:N,"სახელმწიფო ბიუჯეტი",'[1]კონსოლიდირებული ტენდერი'!O:O,"350106"),0)</f>
        <v>0</v>
      </c>
      <c r="N101" s="25">
        <f>IF(G101="კონს. ტენდერი",SUMIFS('[1]კონსოლიდირებული ტენდერი'!L:L,'[1]კონსოლიდირებული ტენდერი'!E:E,B101,'[1]კონსოლიდირებული ტენდერი'!N:N,"სახელმწიფო ბიუჯეტი",'[1]კონსოლიდირებული ტენდერი'!O:O,"3503030702"),0)</f>
        <v>0</v>
      </c>
      <c r="O101" s="25">
        <f>IF(G101="ელ. ტენდერი",SUMIFS('[1]ელ. ტენდერი'!N:N,'[1]ელ. ტენდერი'!G:G,B101,'[1]ელ. ტენდერი'!Q:Q,"სახელმწიფო ბიუჯეტი",'[1]ელ. ტენდერი'!R:R,"350106"),0)</f>
        <v>0</v>
      </c>
      <c r="P101" s="25">
        <f>IF(G101="ელ. ტენდერი",SUMIFS('[1]ელ. ტენდერი'!N:N,'[1]ელ. ტენდერი'!G:G,'30.05.2018'!B101,'[1]ელ. ტენდერი'!Q:Q,"სახელმწიფო ბიუჯეტი",'[1]ელ. ტენდერი'!R:R,"3503030702"),0)</f>
        <v>0</v>
      </c>
      <c r="Q101" s="26">
        <f t="shared" si="2"/>
        <v>0</v>
      </c>
    </row>
    <row r="102" spans="1:17" x14ac:dyDescent="0.25">
      <c r="A102" s="17">
        <v>97</v>
      </c>
      <c r="B102" s="81" t="s">
        <v>180</v>
      </c>
      <c r="C102" s="18" t="s">
        <v>25</v>
      </c>
      <c r="D102" s="19">
        <v>3503030702</v>
      </c>
      <c r="E102" s="49" t="s">
        <v>181</v>
      </c>
      <c r="F102" s="50">
        <v>50000</v>
      </c>
      <c r="G102" s="42" t="s">
        <v>30</v>
      </c>
      <c r="H102" s="23">
        <v>43101</v>
      </c>
      <c r="I102" s="23">
        <v>43465</v>
      </c>
      <c r="J102" s="36"/>
      <c r="K102" s="25">
        <f>IF(G102="გამ. შესყიდვა",SUMIFS('[1]გამარტივებული შესყიდვა'!L:L,'[1]გამარტივებული შესყიდვა'!K:K,B102,'[1]გამარტივებული შესყიდვა'!N:N,"სახელმწიფო ბიუჯეტი",'[1]გამარტივებული შესყიდვა'!O:O,"350106"),0)</f>
        <v>0</v>
      </c>
      <c r="L102" s="25">
        <f>IF(G102="გამ. შესყიდვა",SUMIFS('[1]გამარტივებული შესყიდვა'!L:L,'[1]გამარტივებული შესყიდვა'!K:K,B102,'[1]გამარტივებული შესყიდვა'!N:N,"სახელმწიფო ბიუჯეტი",'[1]გამარტივებული შესყიდვა'!O:O,"3503030702"),0)</f>
        <v>0</v>
      </c>
      <c r="M102" s="25">
        <f>IF(G102="კონს. ტენდერი",SUMIFS('[1]კონსოლიდირებული ტენდერი'!L:L,'[1]კონსოლიდირებული ტენდერი'!E:E,B102,'[1]კონსოლიდირებული ტენდერი'!N:N,"სახელმწიფო ბიუჯეტი",'[1]კონსოლიდირებული ტენდერი'!O:O,"350106"),0)</f>
        <v>0</v>
      </c>
      <c r="N102" s="25">
        <f>IF(G102="კონს. ტენდერი",SUMIFS('[1]კონსოლიდირებული ტენდერი'!L:L,'[1]კონსოლიდირებული ტენდერი'!E:E,B102,'[1]კონსოლიდირებული ტენდერი'!N:N,"სახელმწიფო ბიუჯეტი",'[1]კონსოლიდირებული ტენდერი'!O:O,"3503030702"),0)</f>
        <v>21500</v>
      </c>
      <c r="O102" s="25">
        <f>IF(G102="ელ. ტენდერი",SUMIFS('[1]ელ. ტენდერი'!N:N,'[1]ელ. ტენდერი'!G:G,B102,'[1]ელ. ტენდერი'!Q:Q,"სახელმწიფო ბიუჯეტი",'[1]ელ. ტენდერი'!R:R,"350106"),0)</f>
        <v>0</v>
      </c>
      <c r="P102" s="25">
        <f>IF(G102="ელ. ტენდერი",SUMIFS('[1]ელ. ტენდერი'!N:N,'[1]ელ. ტენდერი'!G:G,'30.05.2018'!B102,'[1]ელ. ტენდერი'!Q:Q,"სახელმწიფო ბიუჯეტი",'[1]ელ. ტენდერი'!R:R,"3503030702"),0)</f>
        <v>0</v>
      </c>
      <c r="Q102" s="26">
        <f t="shared" si="2"/>
        <v>28500</v>
      </c>
    </row>
    <row r="103" spans="1:17" x14ac:dyDescent="0.25">
      <c r="A103" s="17">
        <v>98</v>
      </c>
      <c r="B103" s="81" t="s">
        <v>182</v>
      </c>
      <c r="C103" s="18" t="s">
        <v>147</v>
      </c>
      <c r="D103" s="19">
        <v>3503030702</v>
      </c>
      <c r="E103" s="51" t="s">
        <v>183</v>
      </c>
      <c r="F103" s="50">
        <f>500000-5218.7-10197.5</f>
        <v>484583.8</v>
      </c>
      <c r="G103" s="42" t="s">
        <v>34</v>
      </c>
      <c r="H103" s="23">
        <v>43101</v>
      </c>
      <c r="I103" s="23">
        <v>43465</v>
      </c>
      <c r="J103" s="36"/>
      <c r="K103" s="25">
        <f>IF(G103="გამ. შესყიდვა",SUMIFS('[1]გამარტივებული შესყიდვა'!L:L,'[1]გამარტივებული შესყიდვა'!K:K,B103,'[1]გამარტივებული შესყიდვა'!N:N,"სახელმწიფო ბიუჯეტი",'[1]გამარტივებული შესყიდვა'!O:O,"350106"),0)</f>
        <v>0</v>
      </c>
      <c r="L103" s="25">
        <f>IF(G103="გამ. შესყიდვა",SUMIFS('[1]გამარტივებული შესყიდვა'!L:L,'[1]გამარტივებული შესყიდვა'!K:K,B103,'[1]გამარტივებული შესყიდვა'!N:N,"სახელმწიფო ბიუჯეტი",'[1]გამარტივებული შესყიდვა'!O:O,"3503030702"),0)</f>
        <v>0</v>
      </c>
      <c r="M103" s="25">
        <f>IF(G103="კონს. ტენდერი",SUMIFS('[1]კონსოლიდირებული ტენდერი'!L:L,'[1]კონსოლიდირებული ტენდერი'!E:E,B103,'[1]კონსოლიდირებული ტენდერი'!N:N,"სახელმწიფო ბიუჯეტი",'[1]კონსოლიდირებული ტენდერი'!O:O,"350106"),0)</f>
        <v>0</v>
      </c>
      <c r="N103" s="25">
        <f>IF(G103="კონს. ტენდერი",SUMIFS('[1]კონსოლიდირებული ტენდერი'!L:L,'[1]კონსოლიდირებული ტენდერი'!E:E,B103,'[1]კონსოლიდირებული ტენდერი'!N:N,"სახელმწიფო ბიუჯეტი",'[1]კონსოლიდირებული ტენდერი'!O:O,"3503030702"),0)</f>
        <v>0</v>
      </c>
      <c r="O103" s="25">
        <f>IF(G103="ელ. ტენდერი",SUMIFS('[1]ელ. ტენდერი'!N:N,'[1]ელ. ტენდერი'!G:G,B103,'[1]ელ. ტენდერი'!Q:Q,"სახელმწიფო ბიუჯეტი",'[1]ელ. ტენდერი'!R:R,"350106"),0)</f>
        <v>4396</v>
      </c>
      <c r="P103" s="25">
        <f>IF(G103="ელ. ტენდერი",SUMIFS('[1]ელ. ტენდერი'!N:N,'[1]ელ. ტენდერი'!G:G,'30.05.2018'!B103,'[1]ელ. ტენდერი'!Q:Q,"სახელმწიფო ბიუჯეტი",'[1]ელ. ტენდერი'!R:R,"3503030702"),0)</f>
        <v>392998.08999999997</v>
      </c>
      <c r="Q103" s="26">
        <f t="shared" si="2"/>
        <v>87189.710000000021</v>
      </c>
    </row>
    <row r="104" spans="1:17" x14ac:dyDescent="0.25">
      <c r="A104" s="17">
        <v>99</v>
      </c>
      <c r="B104" s="81" t="s">
        <v>182</v>
      </c>
      <c r="C104" s="18" t="s">
        <v>147</v>
      </c>
      <c r="D104" s="31">
        <v>350106</v>
      </c>
      <c r="E104" s="51" t="s">
        <v>183</v>
      </c>
      <c r="F104" s="52">
        <v>6000</v>
      </c>
      <c r="G104" s="42" t="s">
        <v>34</v>
      </c>
      <c r="H104" s="23">
        <v>43101</v>
      </c>
      <c r="I104" s="23">
        <v>43465</v>
      </c>
      <c r="J104" s="44"/>
      <c r="K104" s="25">
        <f>IF(G104="გამ. შესყიდვა",SUMIFS('[1]გამარტივებული შესყიდვა'!L:L,'[1]გამარტივებული შესყიდვა'!K:K,B104,'[1]გამარტივებული შესყიდვა'!N:N,"სახელმწიფო ბიუჯეტი",'[1]გამარტივებული შესყიდვა'!O:O,"350106"),0)</f>
        <v>0</v>
      </c>
      <c r="L104" s="25">
        <f>IF(G104="გამ. შესყიდვა",SUMIFS('[1]გამარტივებული შესყიდვა'!L:L,'[1]გამარტივებული შესყიდვა'!K:K,B104,'[1]გამარტივებული შესყიდვა'!N:N,"სახელმწიფო ბიუჯეტი",'[1]გამარტივებული შესყიდვა'!O:O,"3503030702"),0)</f>
        <v>0</v>
      </c>
      <c r="M104" s="25">
        <f>IF(G104="კონს. ტენდერი",SUMIFS('[1]კონსოლიდირებული ტენდერი'!L:L,'[1]კონსოლიდირებული ტენდერი'!E:E,B104,'[1]კონსოლიდირებული ტენდერი'!N:N,"სახელმწიფო ბიუჯეტი",'[1]კონსოლიდირებული ტენდერი'!O:O,"350106"),0)</f>
        <v>0</v>
      </c>
      <c r="N104" s="25">
        <f>IF(G104="კონს. ტენდერი",SUMIFS('[1]კონსოლიდირებული ტენდერი'!L:L,'[1]კონსოლიდირებული ტენდერი'!E:E,B104,'[1]კონსოლიდირებული ტენდერი'!N:N,"სახელმწიფო ბიუჯეტი",'[1]კონსოლიდირებული ტენდერი'!O:O,"3503030702"),0)</f>
        <v>0</v>
      </c>
      <c r="O104" s="25">
        <f>IF(G104="ელ. ტენდერი",SUMIFS('[1]ელ. ტენდერი'!N:N,'[1]ელ. ტენდერი'!G:G,B104,'[1]ელ. ტენდერი'!Q:Q,"სახელმწიფო ბიუჯეტი",'[1]ელ. ტენდერი'!R:R,"350106"),0)</f>
        <v>4396</v>
      </c>
      <c r="P104" s="25"/>
      <c r="Q104" s="26">
        <f t="shared" si="2"/>
        <v>1604</v>
      </c>
    </row>
    <row r="105" spans="1:17" x14ac:dyDescent="0.25">
      <c r="A105" s="17">
        <v>100</v>
      </c>
      <c r="B105" s="81" t="s">
        <v>182</v>
      </c>
      <c r="C105" s="18" t="s">
        <v>147</v>
      </c>
      <c r="D105" s="19">
        <v>3503030702</v>
      </c>
      <c r="E105" s="51" t="s">
        <v>183</v>
      </c>
      <c r="F105" s="53">
        <v>5218.7</v>
      </c>
      <c r="G105" s="42" t="s">
        <v>27</v>
      </c>
      <c r="H105" s="23">
        <v>43101</v>
      </c>
      <c r="I105" s="23">
        <v>43465</v>
      </c>
      <c r="J105" s="47" t="s">
        <v>184</v>
      </c>
      <c r="K105" s="25">
        <f>IF(G105="გამ. შესყიდვა",SUMIFS('[1]გამარტივებული შესყიდვა'!L:L,'[1]გამარტივებული შესყიდვა'!K:K,B105,'[1]გამარტივებული შესყიდვა'!N:N,"სახელმწიფო ბიუჯეტი",'[1]გამარტივებული შესყიდვა'!O:O,"350106"),0)</f>
        <v>0</v>
      </c>
      <c r="L105" s="25">
        <f>IF(G105="გამ. შესყიდვა",SUMIFS('[1]გამარტივებული შესყიდვა'!L:L,'[1]გამარტივებული შესყიდვა'!K:K,B105,'[1]გამარტივებული შესყიდვა'!N:N,"სახელმწიფო ბიუჯეტი",'[1]გამარტივებული შესყიდვა'!O:O,"3503030702",'[1]გამარტივებული შესყიდვა'!Q:Q,"„სახელმწიფო შესყიდვების შესახებ“ საქართველოს კანონის მე-10' მუხლის მე-3 პუნქტის „ბ“ ქვეპუნქტის შესაბამისად SMP170003235"),0)</f>
        <v>5218.7</v>
      </c>
      <c r="M105" s="25">
        <f>IF(G105="კონს. ტენდერი",SUMIFS('[1]კონსოლიდირებული ტენდერი'!L:L,'[1]კონსოლიდირებული ტენდერი'!E:E,B105,'[1]კონსოლიდირებული ტენდერი'!N:N,"სახელმწიფო ბიუჯეტი",'[1]კონსოლიდირებული ტენდერი'!O:O,"350106"),0)</f>
        <v>0</v>
      </c>
      <c r="N105" s="25">
        <f>IF(G105="კონს. ტენდერი",SUMIFS('[1]კონსოლიდირებული ტენდერი'!L:L,'[1]კონსოლიდირებული ტენდერი'!E:E,B105,'[1]კონსოლიდირებული ტენდერი'!N:N,"სახელმწიფო ბიუჯეტი",'[1]კონსოლიდირებული ტენდერი'!O:O,"3503030702"),0)</f>
        <v>0</v>
      </c>
      <c r="O105" s="25">
        <f>IF(G105="ელ. ტენდერი",SUMIFS('[1]ელ. ტენდერი'!N:N,'[1]ელ. ტენდერი'!G:G,B105,'[1]ელ. ტენდერი'!Q:Q,"სახელმწიფო ბიუჯეტი",'[1]ელ. ტენდერი'!R:R,"350106"),0)</f>
        <v>0</v>
      </c>
      <c r="P105" s="25">
        <f>IF(G105="ელ. ტენდერი",SUMIFS('[1]ელ. ტენდერი'!N:N,'[1]ელ. ტენდერი'!G:G,'30.05.2018'!B105,'[1]ელ. ტენდერი'!Q:Q,"სახელმწიფო ბიუჯეტი",'[1]ელ. ტენდერი'!R:R,"3503030702"),0)</f>
        <v>0</v>
      </c>
      <c r="Q105" s="26">
        <f t="shared" si="2"/>
        <v>0</v>
      </c>
    </row>
    <row r="106" spans="1:17" x14ac:dyDescent="0.25">
      <c r="A106" s="17">
        <v>101</v>
      </c>
      <c r="B106" s="81" t="s">
        <v>182</v>
      </c>
      <c r="C106" s="18" t="s">
        <v>147</v>
      </c>
      <c r="D106" s="19">
        <v>3503030702</v>
      </c>
      <c r="E106" s="51" t="s">
        <v>183</v>
      </c>
      <c r="F106" s="53">
        <v>10197.5</v>
      </c>
      <c r="G106" s="42" t="s">
        <v>27</v>
      </c>
      <c r="H106" s="23">
        <v>43178</v>
      </c>
      <c r="I106" s="23">
        <v>43465</v>
      </c>
      <c r="J106" s="47" t="s">
        <v>185</v>
      </c>
      <c r="K106" s="25">
        <f>IF(G106="გამ. შესყიდვა",SUMIFS('[1]გამარტივებული შესყიდვა'!L:L,'[1]გამარტივებული შესყიდვა'!K:K,B106,'[1]გამარტივებული შესყიდვა'!N:N,"სახელმწიფო ბიუჯეტი",'[1]გამარტივებული შესყიდვა'!O:O,"350106"),0)</f>
        <v>0</v>
      </c>
      <c r="L106" s="25">
        <f>IF(G106="გამ. შესყიდვა",SUMIFS('[1]გამარტივებული შესყიდვა'!L:L,'[1]გამარტივებული შესყიდვა'!K:K,B106,'[1]გამარტივებული შესყიდვა'!N:N,"სახელმწიფო ბიუჯეტი",'[1]გამარტივებული შესყიდვა'!O:O,"3503030702",'[1]გამარტივებული შესყიდვა'!Q:Q,"„სახელმწიფო შესყიდვების შესახებ“ საქართველოს კანონის მე-10' მუხლის მე-3 პუნქტის „ბ“ ქვეპუნქტის შესაბამისად SMP180000699"),0)</f>
        <v>10197.5</v>
      </c>
      <c r="M106" s="25">
        <f>IF(G106="კონს. ტენდერი",SUMIFS('[1]კონსოლიდირებული ტენდერი'!L:L,'[1]კონსოლიდირებული ტენდერი'!E:E,B106,'[1]კონსოლიდირებული ტენდერი'!N:N,"სახელმწიფო ბიუჯეტი",'[1]კონსოლიდირებული ტენდერი'!O:O,"350106"),0)</f>
        <v>0</v>
      </c>
      <c r="N106" s="25">
        <f>IF(G106="კონს. ტენდერი",SUMIFS('[1]კონსოლიდირებული ტენდერი'!L:L,'[1]კონსოლიდირებული ტენდერი'!E:E,B106,'[1]კონსოლიდირებული ტენდერი'!N:N,"სახელმწიფო ბიუჯეტი",'[1]კონსოლიდირებული ტენდერი'!O:O,"3503030702"),0)</f>
        <v>0</v>
      </c>
      <c r="O106" s="25">
        <f>IF(G106="ელ. ტენდერი",SUMIFS('[1]ელ. ტენდერი'!N:N,'[1]ელ. ტენდერი'!G:G,B106,'[1]ელ. ტენდერი'!Q:Q,"სახელმწიფო ბიუჯეტი",'[1]ელ. ტენდერი'!R:R,"350106"),0)</f>
        <v>0</v>
      </c>
      <c r="P106" s="25">
        <f>IF(G106="ელ. ტენდერი",SUMIFS('[1]ელ. ტენდერი'!N:N,'[1]ელ. ტენდერი'!G:G,'30.05.2018'!B106,'[1]ელ. ტენდერი'!Q:Q,"სახელმწიფო ბიუჯეტი",'[1]ელ. ტენდერი'!R:R,"3503030702"),0)</f>
        <v>0</v>
      </c>
      <c r="Q106" s="26">
        <f t="shared" si="2"/>
        <v>0</v>
      </c>
    </row>
    <row r="107" spans="1:17" x14ac:dyDescent="0.25">
      <c r="A107" s="17">
        <v>102</v>
      </c>
      <c r="B107" s="81" t="s">
        <v>186</v>
      </c>
      <c r="C107" s="18" t="s">
        <v>25</v>
      </c>
      <c r="D107" s="19">
        <v>3503030702</v>
      </c>
      <c r="E107" s="49" t="s">
        <v>187</v>
      </c>
      <c r="F107" s="52">
        <v>3990</v>
      </c>
      <c r="G107" s="42" t="s">
        <v>27</v>
      </c>
      <c r="H107" s="23">
        <v>43101</v>
      </c>
      <c r="I107" s="23">
        <v>43465</v>
      </c>
      <c r="J107" s="47"/>
      <c r="K107" s="25">
        <f>IF(G107="გამ. შესყიდვა",SUMIFS('[1]გამარტივებული შესყიდვა'!L:L,'[1]გამარტივებული შესყიდვა'!K:K,B107,'[1]გამარტივებული შესყიდვა'!N:N,"სახელმწიფო ბიუჯეტი",'[1]გამარტივებული შესყიდვა'!O:O,"350106"),0)</f>
        <v>150</v>
      </c>
      <c r="L107" s="25">
        <f>IF(G107="გამ. შესყიდვა",SUMIFS('[1]გამარტივებული შესყიდვა'!L:L,'[1]გამარტივებული შესყიდვა'!K:K,B107,'[1]გამარტივებული შესყიდვა'!N:N,"სახელმწიფო ბიუჯეტი",'[1]გამარტივებული შესყიდვა'!O:O,"3503030702"),0)</f>
        <v>130.9</v>
      </c>
      <c r="M107" s="25">
        <f>IF(G107="კონს. ტენდერი",SUMIFS('[1]კონსოლიდირებული ტენდერი'!L:L,'[1]კონსოლიდირებული ტენდერი'!E:E,B107,'[1]კონსოლიდირებული ტენდერი'!N:N,"სახელმწიფო ბიუჯეტი",'[1]კონსოლიდირებული ტენდერი'!O:O,"350106"),0)</f>
        <v>0</v>
      </c>
      <c r="N107" s="25">
        <f>IF(G107="კონს. ტენდერი",SUMIFS('[1]კონსოლიდირებული ტენდერი'!L:L,'[1]კონსოლიდირებული ტენდერი'!E:E,B107,'[1]კონსოლიდირებული ტენდერი'!N:N,"სახელმწიფო ბიუჯეტი",'[1]კონსოლიდირებული ტენდერი'!O:O,"3503030702"),0)</f>
        <v>0</v>
      </c>
      <c r="O107" s="25">
        <f>IF(G107="ელ. ტენდერი",SUMIFS('[1]ელ. ტენდერი'!N:N,'[1]ელ. ტენდერი'!G:G,B107,'[1]ელ. ტენდერი'!Q:Q,"სახელმწიფო ბიუჯეტი",'[1]ელ. ტენდერი'!R:R,"350106"),0)</f>
        <v>0</v>
      </c>
      <c r="P107" s="25">
        <f>IF(G107="ელ. ტენდერი",SUMIFS('[1]ელ. ტენდერი'!N:N,'[1]ელ. ტენდერი'!G:G,'30.05.2018'!B107,'[1]ელ. ტენდერი'!Q:Q,"სახელმწიფო ბიუჯეტი",'[1]ელ. ტენდერი'!R:R,"3503030702"),0)</f>
        <v>0</v>
      </c>
      <c r="Q107" s="26">
        <f t="shared" si="2"/>
        <v>3709.1</v>
      </c>
    </row>
    <row r="108" spans="1:17" x14ac:dyDescent="0.25">
      <c r="A108" s="17">
        <v>103</v>
      </c>
      <c r="B108" s="81" t="s">
        <v>186</v>
      </c>
      <c r="C108" s="18" t="s">
        <v>25</v>
      </c>
      <c r="D108" s="31">
        <v>350106</v>
      </c>
      <c r="E108" s="49" t="s">
        <v>187</v>
      </c>
      <c r="F108" s="52">
        <v>1000</v>
      </c>
      <c r="G108" s="42" t="s">
        <v>27</v>
      </c>
      <c r="H108" s="23">
        <v>43101</v>
      </c>
      <c r="I108" s="23">
        <v>43465</v>
      </c>
      <c r="J108" s="36"/>
      <c r="K108" s="25">
        <f>IF(G108="გამ. შესყიდვა",SUMIFS('[1]გამარტივებული შესყიდვა'!L:L,'[1]გამარტივებული შესყიდვა'!K:K,B108,'[1]გამარტივებული შესყიდვა'!N:N,"სახელმწიფო ბიუჯეტი",'[1]გამარტივებული შესყიდვა'!O:O,"350106"),0)</f>
        <v>150</v>
      </c>
      <c r="L108" s="25">
        <f>IF(G108="გამ. შესყიდვა",SUMIFS('[1]გამარტივებული შესყიდვა'!L:L,'[1]გამარტივებული შესყიდვა'!K:K,B108,'[1]გამარტივებული შესყიდვა'!N:N,"სახელმწიფო ბიუჯეტი",'[1]გამარტივებული შესყიდვა'!O:O,"3503030702"),0)</f>
        <v>130.9</v>
      </c>
      <c r="M108" s="25">
        <f>IF(G108="კონს. ტენდერი",SUMIFS('[1]კონსოლიდირებული ტენდერი'!L:L,'[1]კონსოლიდირებული ტენდერი'!E:E,B108,'[1]კონსოლიდირებული ტენდერი'!N:N,"სახელმწიფო ბიუჯეტი",'[1]კონსოლიდირებული ტენდერი'!O:O,"350106"),0)</f>
        <v>0</v>
      </c>
      <c r="N108" s="25">
        <f>IF(G108="კონს. ტენდერი",SUMIFS('[1]კონსოლიდირებული ტენდერი'!L:L,'[1]კონსოლიდირებული ტენდერი'!E:E,B108,'[1]კონსოლიდირებული ტენდერი'!N:N,"სახელმწიფო ბიუჯეტი",'[1]კონსოლიდირებული ტენდერი'!O:O,"3503030702"),0)</f>
        <v>0</v>
      </c>
      <c r="O108" s="25">
        <f>IF(G108="ელ. ტენდერი",SUMIFS('[1]ელ. ტენდერი'!N:N,'[1]ელ. ტენდერი'!G:G,B108,'[1]ელ. ტენდერი'!Q:Q,"სახელმწიფო ბიუჯეტი",'[1]ელ. ტენდერი'!R:R,"350106"),0)</f>
        <v>0</v>
      </c>
      <c r="P108" s="25">
        <f>IF(G108="ელ. ტენდერი",SUMIFS('[1]ელ. ტენდერი'!N:N,'[1]ელ. ტენდერი'!G:G,'30.05.2018'!B108,'[1]ელ. ტენდერი'!Q:Q,"სახელმწიფო ბიუჯეტი",'[1]ელ. ტენდერი'!R:R,"3503030702"),0)</f>
        <v>0</v>
      </c>
      <c r="Q108" s="26">
        <f t="shared" si="2"/>
        <v>719.1</v>
      </c>
    </row>
    <row r="109" spans="1:17" x14ac:dyDescent="0.25">
      <c r="A109" s="17">
        <v>104</v>
      </c>
      <c r="B109" s="81" t="s">
        <v>188</v>
      </c>
      <c r="C109" s="18" t="s">
        <v>25</v>
      </c>
      <c r="D109" s="19">
        <v>3503030702</v>
      </c>
      <c r="E109" s="49" t="s">
        <v>189</v>
      </c>
      <c r="F109" s="50">
        <v>4990</v>
      </c>
      <c r="G109" s="42" t="s">
        <v>27</v>
      </c>
      <c r="H109" s="23">
        <v>43101</v>
      </c>
      <c r="I109" s="23">
        <v>43465</v>
      </c>
      <c r="J109" s="36"/>
      <c r="K109" s="25">
        <f>IF(G109="გამ. შესყიდვა",SUMIFS('[1]გამარტივებული შესყიდვა'!L:L,'[1]გამარტივებული შესყიდვა'!K:K,B109,'[1]გამარტივებული შესყიდვა'!N:N,"სახელმწიფო ბიუჯეტი",'[1]გამარტივებული შესყიდვა'!O:O,"350106"),0)</f>
        <v>0</v>
      </c>
      <c r="L109" s="25">
        <f>IF(G109="გამ. შესყიდვა",SUMIFS('[1]გამარტივებული შესყიდვა'!L:L,'[1]გამარტივებული შესყიდვა'!K:K,B109,'[1]გამარტივებული შესყიდვა'!N:N,"სახელმწიფო ბიუჯეტი",'[1]გამარტივებული შესყიდვა'!O:O,"3503030702"),0)</f>
        <v>0</v>
      </c>
      <c r="M109" s="25">
        <f>IF(G109="კონს. ტენდერი",SUMIFS('[1]კონსოლიდირებული ტენდერი'!L:L,'[1]კონსოლიდირებული ტენდერი'!E:E,B109,'[1]კონსოლიდირებული ტენდერი'!N:N,"სახელმწიფო ბიუჯეტი",'[1]კონსოლიდირებული ტენდერი'!O:O,"350106"),0)</f>
        <v>0</v>
      </c>
      <c r="N109" s="25">
        <f>IF(G109="კონს. ტენდერი",SUMIFS('[1]კონსოლიდირებული ტენდერი'!L:L,'[1]კონსოლიდირებული ტენდერი'!E:E,B109,'[1]კონსოლიდირებული ტენდერი'!N:N,"სახელმწიფო ბიუჯეტი",'[1]კონსოლიდირებული ტენდერი'!O:O,"3503030702"),0)</f>
        <v>0</v>
      </c>
      <c r="O109" s="25">
        <f>IF(G109="ელ. ტენდერი",SUMIFS('[1]ელ. ტენდერი'!N:N,'[1]ელ. ტენდერი'!G:G,B109,'[1]ელ. ტენდერი'!Q:Q,"სახელმწიფო ბიუჯეტი",'[1]ელ. ტენდერი'!R:R,"350106"),0)</f>
        <v>0</v>
      </c>
      <c r="P109" s="25">
        <f>IF(G109="ელ. ტენდერი",SUMIFS('[1]ელ. ტენდერი'!N:N,'[1]ელ. ტენდერი'!G:G,'30.05.2018'!B109,'[1]ელ. ტენდერი'!Q:Q,"სახელმწიფო ბიუჯეტი",'[1]ელ. ტენდერი'!R:R,"3503030702"),0)</f>
        <v>0</v>
      </c>
      <c r="Q109" s="26">
        <f t="shared" si="2"/>
        <v>4990</v>
      </c>
    </row>
    <row r="110" spans="1:17" x14ac:dyDescent="0.25">
      <c r="A110" s="17">
        <v>105</v>
      </c>
      <c r="B110" s="81" t="s">
        <v>190</v>
      </c>
      <c r="C110" s="18" t="s">
        <v>25</v>
      </c>
      <c r="D110" s="31">
        <v>350106</v>
      </c>
      <c r="E110" s="51" t="s">
        <v>191</v>
      </c>
      <c r="F110" s="50">
        <v>2000</v>
      </c>
      <c r="G110" s="42" t="s">
        <v>27</v>
      </c>
      <c r="H110" s="23">
        <v>43101</v>
      </c>
      <c r="I110" s="23">
        <v>43465</v>
      </c>
      <c r="J110" s="36"/>
      <c r="K110" s="25">
        <f>IF(G110="გამ. შესყიდვა",SUMIFS('[1]გამარტივებული შესყიდვა'!L:L,'[1]გამარტივებული შესყიდვა'!K:K,B110,'[1]გამარტივებული შესყიდვა'!N:N,"სახელმწიფო ბიუჯეტი",'[1]გამარტივებული შესყიდვა'!O:O,"350106"),0)</f>
        <v>0</v>
      </c>
      <c r="L110" s="25">
        <f>IF(G110="გამ. შესყიდვა",SUMIFS('[1]გამარტივებული შესყიდვა'!L:L,'[1]გამარტივებული შესყიდვა'!K:K,B110,'[1]გამარტივებული შესყიდვა'!N:N,"სახელმწიფო ბიუჯეტი",'[1]გამარტივებული შესყიდვა'!O:O,"3503030702"),0)</f>
        <v>0</v>
      </c>
      <c r="M110" s="25">
        <f>IF(G110="კონს. ტენდერი",SUMIFS('[1]კონსოლიდირებული ტენდერი'!L:L,'[1]კონსოლიდირებული ტენდერი'!E:E,B110,'[1]კონსოლიდირებული ტენდერი'!N:N,"სახელმწიფო ბიუჯეტი",'[1]კონსოლიდირებული ტენდერი'!O:O,"350106"),0)</f>
        <v>0</v>
      </c>
      <c r="N110" s="25">
        <f>IF(G110="კონს. ტენდერი",SUMIFS('[1]კონსოლიდირებული ტენდერი'!L:L,'[1]კონსოლიდირებული ტენდერი'!E:E,B110,'[1]კონსოლიდირებული ტენდერი'!N:N,"სახელმწიფო ბიუჯეტი",'[1]კონსოლიდირებული ტენდერი'!O:O,"3503030702"),0)</f>
        <v>0</v>
      </c>
      <c r="O110" s="25">
        <f>IF(G110="ელ. ტენდერი",SUMIFS('[1]ელ. ტენდერი'!N:N,'[1]ელ. ტენდერი'!G:G,B110,'[1]ელ. ტენდერი'!Q:Q,"სახელმწიფო ბიუჯეტი",'[1]ელ. ტენდერი'!R:R,"350106"),0)</f>
        <v>0</v>
      </c>
      <c r="P110" s="25">
        <f>IF(G110="ელ. ტენდერი",SUMIFS('[1]ელ. ტენდერი'!N:N,'[1]ელ. ტენდერი'!G:G,'30.05.2018'!B110,'[1]ელ. ტენდერი'!Q:Q,"სახელმწიფო ბიუჯეტი",'[1]ელ. ტენდერი'!R:R,"3503030702"),0)</f>
        <v>0</v>
      </c>
      <c r="Q110" s="26">
        <f t="shared" si="2"/>
        <v>2000</v>
      </c>
    </row>
    <row r="111" spans="1:17" x14ac:dyDescent="0.25">
      <c r="A111" s="17">
        <v>106</v>
      </c>
      <c r="B111" s="81" t="s">
        <v>192</v>
      </c>
      <c r="C111" s="18" t="s">
        <v>25</v>
      </c>
      <c r="D111" s="19">
        <v>3503030702</v>
      </c>
      <c r="E111" s="49" t="s">
        <v>193</v>
      </c>
      <c r="F111" s="50">
        <v>75000</v>
      </c>
      <c r="G111" s="42" t="s">
        <v>27</v>
      </c>
      <c r="H111" s="23">
        <v>43101</v>
      </c>
      <c r="I111" s="23">
        <v>43465</v>
      </c>
      <c r="J111" s="36" t="s">
        <v>194</v>
      </c>
      <c r="K111" s="25">
        <f>IF(G111="გამ. შესყიდვა",SUMIFS('[1]გამარტივებული შესყიდვა'!L:L,'[1]გამარტივებული შესყიდვა'!K:K,B111,'[1]გამარტივებული შესყიდვა'!N:N,"სახელმწიფო ბიუჯეტი",'[1]გამარტივებული შესყიდვა'!O:O,"350106"),0)</f>
        <v>43920</v>
      </c>
      <c r="L111" s="25">
        <f>IF(G111="გამ. შესყიდვა",SUMIFS('[1]გამარტივებული შესყიდვა'!L:L,'[1]გამარტივებული შესყიდვა'!K:K,B111,'[1]გამარტივებული შესყიდვა'!N:N,"სახელმწიფო ბიუჯეტი",'[1]გამარტივებული შესყიდვა'!O:O,"3503030702"),0)</f>
        <v>12803.6</v>
      </c>
      <c r="M111" s="25">
        <f>IF(G111="კონს. ტენდერი",SUMIFS('[1]კონსოლიდირებული ტენდერი'!L:L,'[1]კონსოლიდირებული ტენდერი'!E:E,B111,'[1]კონსოლიდირებული ტენდერი'!N:N,"სახელმწიფო ბიუჯეტი",'[1]კონსოლიდირებული ტენდერი'!O:O,"350106"),0)</f>
        <v>0</v>
      </c>
      <c r="N111" s="25">
        <f>IF(G111="კონს. ტენდერი",SUMIFS('[1]კონსოლიდირებული ტენდერი'!L:L,'[1]კონსოლიდირებული ტენდერი'!E:E,B111,'[1]კონსოლიდირებული ტენდერი'!N:N,"სახელმწიფო ბიუჯეტი",'[1]კონსოლიდირებული ტენდერი'!O:O,"3503030702"),0)</f>
        <v>0</v>
      </c>
      <c r="O111" s="25">
        <f>IF(G111="ელ. ტენდერი",SUMIFS('[1]ელ. ტენდერი'!N:N,'[1]ელ. ტენდერი'!G:G,B111,'[1]ელ. ტენდერი'!Q:Q,"სახელმწიფო ბიუჯეტი",'[1]ელ. ტენდერი'!R:R,"350106"),0)</f>
        <v>0</v>
      </c>
      <c r="P111" s="25">
        <f>IF(G111="ელ. ტენდერი",SUMIFS('[1]ელ. ტენდერი'!N:N,'[1]ელ. ტენდერი'!G:G,'30.05.2018'!B111,'[1]ელ. ტენდერი'!Q:Q,"სახელმწიფო ბიუჯეტი",'[1]ელ. ტენდერი'!R:R,"3503030702"),0)</f>
        <v>0</v>
      </c>
      <c r="Q111" s="26">
        <f t="shared" si="2"/>
        <v>18276.400000000001</v>
      </c>
    </row>
    <row r="112" spans="1:17" x14ac:dyDescent="0.25">
      <c r="A112" s="17">
        <v>107</v>
      </c>
      <c r="B112" s="81" t="s">
        <v>192</v>
      </c>
      <c r="C112" s="18" t="s">
        <v>25</v>
      </c>
      <c r="D112" s="31">
        <v>350106</v>
      </c>
      <c r="E112" s="49" t="s">
        <v>193</v>
      </c>
      <c r="F112" s="50">
        <v>75000</v>
      </c>
      <c r="G112" s="42" t="s">
        <v>27</v>
      </c>
      <c r="H112" s="23">
        <v>43101</v>
      </c>
      <c r="I112" s="23">
        <v>43465</v>
      </c>
      <c r="J112" s="36" t="s">
        <v>194</v>
      </c>
      <c r="K112" s="25">
        <f>IF(G112="გამ. შესყიდვა",SUMIFS('[1]გამარტივებული შესყიდვა'!L:L,'[1]გამარტივებული შესყიდვა'!K:K,B112,'[1]გამარტივებული შესყიდვა'!N:N,"სახელმწიფო ბიუჯეტი",'[1]გამარტივებული შესყიდვა'!O:O,"350106"),0)</f>
        <v>43920</v>
      </c>
      <c r="L112" s="25">
        <f>IF(G112="გამ. შესყიდვა",SUMIFS('[1]გამარტივებული შესყიდვა'!L:L,'[1]გამარტივებული შესყიდვა'!K:K,B112,'[1]გამარტივებული შესყიდვა'!N:N,"სახელმწიფო ბიუჯეტი",'[1]გამარტივებული შესყიდვა'!O:O,"3503030702"),0)</f>
        <v>12803.6</v>
      </c>
      <c r="M112" s="25">
        <f>IF(G112="კონს. ტენდერი",SUMIFS('[1]კონსოლიდირებული ტენდერი'!L:L,'[1]კონსოლიდირებული ტენდერი'!E:E,B112,'[1]კონსოლიდირებული ტენდერი'!N:N,"სახელმწიფო ბიუჯეტი",'[1]კონსოლიდირებული ტენდერი'!O:O,"350106"),0)</f>
        <v>0</v>
      </c>
      <c r="N112" s="25">
        <f>IF(G112="კონს. ტენდერი",SUMIFS('[1]კონსოლიდირებული ტენდერი'!L:L,'[1]კონსოლიდირებული ტენდერი'!E:E,B112,'[1]კონსოლიდირებული ტენდერი'!N:N,"სახელმწიფო ბიუჯეტი",'[1]კონსოლიდირებული ტენდერი'!O:O,"3503030702"),0)</f>
        <v>0</v>
      </c>
      <c r="O112" s="25">
        <f>IF(G112="ელ. ტენდერი",SUMIFS('[1]ელ. ტენდერი'!N:N,'[1]ელ. ტენდერი'!G:G,B112,'[1]ელ. ტენდერი'!Q:Q,"სახელმწიფო ბიუჯეტი",'[1]ელ. ტენდერი'!R:R,"350106"),0)</f>
        <v>0</v>
      </c>
      <c r="P112" s="25">
        <f>IF(G112="ელ. ტენდერი",SUMIFS('[1]ელ. ტენდერი'!N:N,'[1]ელ. ტენდერი'!G:G,'30.05.2018'!B112,'[1]ელ. ტენდერი'!Q:Q,"სახელმწიფო ბიუჯეტი",'[1]ელ. ტენდერი'!R:R,"3503030702"),0)</f>
        <v>0</v>
      </c>
      <c r="Q112" s="26">
        <f t="shared" si="2"/>
        <v>18276.400000000001</v>
      </c>
    </row>
    <row r="113" spans="1:17" x14ac:dyDescent="0.25">
      <c r="A113" s="17">
        <v>108</v>
      </c>
      <c r="B113" s="81" t="s">
        <v>195</v>
      </c>
      <c r="C113" s="18" t="s">
        <v>25</v>
      </c>
      <c r="D113" s="31">
        <v>350106</v>
      </c>
      <c r="E113" s="20" t="s">
        <v>196</v>
      </c>
      <c r="F113" s="37">
        <v>1990</v>
      </c>
      <c r="G113" s="22" t="s">
        <v>27</v>
      </c>
      <c r="H113" s="23">
        <v>43101</v>
      </c>
      <c r="I113" s="23">
        <v>43465</v>
      </c>
      <c r="J113" s="36"/>
      <c r="K113" s="25">
        <f>IF(G113="გამ. შესყიდვა",SUMIFS('[1]გამარტივებული შესყიდვა'!L:L,'[1]გამარტივებული შესყიდვა'!K:K,B113,'[1]გამარტივებული შესყიდვა'!N:N,"სახელმწიფო ბიუჯეტი",'[1]გამარტივებული შესყიდვა'!O:O,"350106"),0)</f>
        <v>0</v>
      </c>
      <c r="L113" s="25">
        <f>IF(G113="გამ. შესყიდვა",SUMIFS('[1]გამარტივებული შესყიდვა'!L:L,'[1]გამარტივებული შესყიდვა'!K:K,B113,'[1]გამარტივებული შესყიდვა'!N:N,"სახელმწიფო ბიუჯეტი",'[1]გამარტივებული შესყიდვა'!O:O,"3503030702"),0)</f>
        <v>5000</v>
      </c>
      <c r="M113" s="25">
        <f>IF(G113="კონს. ტენდერი",SUMIFS('[1]კონსოლიდირებული ტენდერი'!L:L,'[1]კონსოლიდირებული ტენდერი'!E:E,B113,'[1]კონსოლიდირებული ტენდერი'!N:N,"სახელმწიფო ბიუჯეტი",'[1]კონსოლიდირებული ტენდერი'!O:O,"350106"),0)</f>
        <v>0</v>
      </c>
      <c r="N113" s="25">
        <f>IF(G113="კონს. ტენდერი",SUMIFS('[1]კონსოლიდირებული ტენდერი'!L:L,'[1]კონსოლიდირებული ტენდერი'!E:E,B113,'[1]კონსოლიდირებული ტენდერი'!N:N,"სახელმწიფო ბიუჯეტი",'[1]კონსოლიდირებული ტენდერი'!O:O,"3503030702"),0)</f>
        <v>0</v>
      </c>
      <c r="O113" s="25">
        <f>IF(G113="ელ. ტენდერი",SUMIFS('[1]ელ. ტენდერი'!N:N,'[1]ელ. ტენდერი'!G:G,B113,'[1]ელ. ტენდერი'!Q:Q,"სახელმწიფო ბიუჯეტი",'[1]ელ. ტენდერი'!R:R,"350106"),0)</f>
        <v>0</v>
      </c>
      <c r="P113" s="25">
        <f>IF(G113="ელ. ტენდერი",SUMIFS('[1]ელ. ტენდერი'!N:N,'[1]ელ. ტენდერი'!G:G,'30.05.2018'!B113,'[1]ელ. ტენდერი'!Q:Q,"სახელმწიფო ბიუჯეტი",'[1]ელ. ტენდერი'!R:R,"3503030702"),0)</f>
        <v>0</v>
      </c>
      <c r="Q113" s="26">
        <f t="shared" si="2"/>
        <v>-3010</v>
      </c>
    </row>
    <row r="114" spans="1:17" x14ac:dyDescent="0.25">
      <c r="A114" s="17">
        <v>109</v>
      </c>
      <c r="B114" s="81" t="s">
        <v>195</v>
      </c>
      <c r="C114" s="18" t="s">
        <v>25</v>
      </c>
      <c r="D114" s="19">
        <v>3503030702</v>
      </c>
      <c r="E114" s="20" t="s">
        <v>196</v>
      </c>
      <c r="F114" s="37">
        <v>3000</v>
      </c>
      <c r="G114" s="22" t="s">
        <v>27</v>
      </c>
      <c r="H114" s="23">
        <v>43101</v>
      </c>
      <c r="I114" s="23">
        <v>43465</v>
      </c>
      <c r="J114" s="36"/>
      <c r="K114" s="25">
        <f>IF(G114="გამ. შესყიდვა",SUMIFS('[1]გამარტივებული შესყიდვა'!L:L,'[1]გამარტივებული შესყიდვა'!K:K,B114,'[1]გამარტივებული შესყიდვა'!N:N,"სახელმწიფო ბიუჯეტი",'[1]გამარტივებული შესყიდვა'!O:O,"350106"),0)</f>
        <v>0</v>
      </c>
      <c r="L114" s="25">
        <f>IF(G114="გამ. შესყიდვა",SUMIFS('[1]გამარტივებული შესყიდვა'!L:L,'[1]გამარტივებული შესყიდვა'!K:K,B114,'[1]გამარტივებული შესყიდვა'!N:N,"სახელმწიფო ბიუჯეტი",'[1]გამარტივებული შესყიდვა'!O:O,"3503030702"),0)</f>
        <v>5000</v>
      </c>
      <c r="M114" s="25">
        <f>IF(G114="კონს. ტენდერი",SUMIFS('[1]კონსოლიდირებული ტენდერი'!L:L,'[1]კონსოლიდირებული ტენდერი'!E:E,B114,'[1]კონსოლიდირებული ტენდერი'!N:N,"სახელმწიფო ბიუჯეტი",'[1]კონსოლიდირებული ტენდერი'!O:O,"350106"),0)</f>
        <v>0</v>
      </c>
      <c r="N114" s="25">
        <f>IF(G114="კონს. ტენდერი",SUMIFS('[1]კონსოლიდირებული ტენდერი'!L:L,'[1]კონსოლიდირებული ტენდერი'!E:E,B114,'[1]კონსოლიდირებული ტენდერი'!N:N,"სახელმწიფო ბიუჯეტი",'[1]კონსოლიდირებული ტენდერი'!O:O,"3503030702"),0)</f>
        <v>0</v>
      </c>
      <c r="O114" s="25">
        <f>IF(G114="ელ. ტენდერი",SUMIFS('[1]ელ. ტენდერი'!N:N,'[1]ელ. ტენდერი'!G:G,B114,'[1]ელ. ტენდერი'!Q:Q,"სახელმწიფო ბიუჯეტი",'[1]ელ. ტენდერი'!R:R,"350106"),0)</f>
        <v>0</v>
      </c>
      <c r="P114" s="25">
        <f>IF(G114="ელ. ტენდერი",SUMIFS('[1]ელ. ტენდერი'!N:N,'[1]ელ. ტენდერი'!G:G,'30.05.2018'!B114,'[1]ელ. ტენდერი'!Q:Q,"სახელმწიფო ბიუჯეტი",'[1]ელ. ტენდერი'!R:R,"3503030702"),0)</f>
        <v>0</v>
      </c>
      <c r="Q114" s="26">
        <f t="shared" si="2"/>
        <v>-2000</v>
      </c>
    </row>
    <row r="115" spans="1:17" x14ac:dyDescent="0.25">
      <c r="A115" s="17">
        <v>110</v>
      </c>
      <c r="B115" s="81" t="s">
        <v>197</v>
      </c>
      <c r="C115" s="18" t="s">
        <v>25</v>
      </c>
      <c r="D115" s="19">
        <v>3503030702</v>
      </c>
      <c r="E115" s="20" t="s">
        <v>198</v>
      </c>
      <c r="F115" s="37">
        <v>15000</v>
      </c>
      <c r="G115" s="22" t="s">
        <v>34</v>
      </c>
      <c r="H115" s="23">
        <v>43101</v>
      </c>
      <c r="I115" s="23">
        <v>43465</v>
      </c>
      <c r="J115" s="36"/>
      <c r="K115" s="25">
        <f>IF(G115="გამ. შესყიდვა",SUMIFS('[1]გამარტივებული შესყიდვა'!L:L,'[1]გამარტივებული შესყიდვა'!K:K,B115,'[1]გამარტივებული შესყიდვა'!N:N,"სახელმწიფო ბიუჯეტი",'[1]გამარტივებული შესყიდვა'!O:O,"350106"),0)</f>
        <v>0</v>
      </c>
      <c r="L115" s="25">
        <f>IF(G115="გამ. შესყიდვა",SUMIFS('[1]გამარტივებული შესყიდვა'!L:L,'[1]გამარტივებული შესყიდვა'!K:K,B115,'[1]გამარტივებული შესყიდვა'!N:N,"სახელმწიფო ბიუჯეტი",'[1]გამარტივებული შესყიდვა'!O:O,"3503030702"),0)</f>
        <v>0</v>
      </c>
      <c r="M115" s="25">
        <f>IF(G115="კონს. ტენდერი",SUMIFS('[1]კონსოლიდირებული ტენდერი'!L:L,'[1]კონსოლიდირებული ტენდერი'!E:E,B115,'[1]კონსოლიდირებული ტენდერი'!N:N,"სახელმწიფო ბიუჯეტი",'[1]კონსოლიდირებული ტენდერი'!O:O,"350106"),0)</f>
        <v>0</v>
      </c>
      <c r="N115" s="25">
        <f>IF(G115="კონს. ტენდერი",SUMIFS('[1]კონსოლიდირებული ტენდერი'!L:L,'[1]კონსოლიდირებული ტენდერი'!E:E,B115,'[1]კონსოლიდირებული ტენდერი'!N:N,"სახელმწიფო ბიუჯეტი",'[1]კონსოლიდირებული ტენდერი'!O:O,"3503030702"),0)</f>
        <v>0</v>
      </c>
      <c r="O115" s="25">
        <f>IF(G115="ელ. ტენდერი",SUMIFS('[1]ელ. ტენდერი'!N:N,'[1]ელ. ტენდერი'!G:G,B115,'[1]ელ. ტენდერი'!Q:Q,"სახელმწიფო ბიუჯეტი",'[1]ელ. ტენდერი'!R:R,"350106"),0)</f>
        <v>0</v>
      </c>
      <c r="P115" s="25">
        <f>IF(G115="ელ. ტენდერი",SUMIFS('[1]ელ. ტენდერი'!N:N,'[1]ელ. ტენდერი'!G:G,'30.05.2018'!B115,'[1]ელ. ტენდერი'!Q:Q,"სახელმწიფო ბიუჯეტი",'[1]ელ. ტენდერი'!R:R,"3503030702"),0)</f>
        <v>0</v>
      </c>
      <c r="Q115" s="26">
        <f t="shared" si="2"/>
        <v>15000</v>
      </c>
    </row>
    <row r="116" spans="1:17" x14ac:dyDescent="0.25">
      <c r="A116" s="17">
        <v>111</v>
      </c>
      <c r="B116" s="81" t="s">
        <v>199</v>
      </c>
      <c r="C116" s="18" t="s">
        <v>25</v>
      </c>
      <c r="D116" s="31">
        <v>350106</v>
      </c>
      <c r="E116" s="20" t="s">
        <v>200</v>
      </c>
      <c r="F116" s="37">
        <v>4990</v>
      </c>
      <c r="G116" s="22" t="s">
        <v>27</v>
      </c>
      <c r="H116" s="23">
        <v>43101</v>
      </c>
      <c r="I116" s="23">
        <v>43465</v>
      </c>
      <c r="J116" s="36"/>
      <c r="K116" s="25">
        <f>IF(G116="გამ. შესყიდვა",SUMIFS('[1]გამარტივებული შესყიდვა'!L:L,'[1]გამარტივებული შესყიდვა'!K:K,B116,'[1]გამარტივებული შესყიდვა'!N:N,"სახელმწიფო ბიუჯეტი",'[1]გამარტივებული შესყიდვა'!O:O,"350106"),0)</f>
        <v>173.5</v>
      </c>
      <c r="L116" s="25">
        <f>IF(G116="გამ. შესყიდვა",SUMIFS('[1]გამარტივებული შესყიდვა'!L:L,'[1]გამარტივებული შესყიდვა'!K:K,B116,'[1]გამარტივებული შესყიდვა'!N:N,"სახელმწიფო ბიუჯეტი",'[1]გამარტივებული შესყიდვა'!O:O,"3503030702"),0)</f>
        <v>0</v>
      </c>
      <c r="M116" s="25">
        <f>IF(G116="კონს. ტენდერი",SUMIFS('[1]კონსოლიდირებული ტენდერი'!L:L,'[1]კონსოლიდირებული ტენდერი'!E:E,B116,'[1]კონსოლიდირებული ტენდერი'!N:N,"სახელმწიფო ბიუჯეტი",'[1]კონსოლიდირებული ტენდერი'!O:O,"350106"),0)</f>
        <v>0</v>
      </c>
      <c r="N116" s="25">
        <f>IF(G116="კონს. ტენდერი",SUMIFS('[1]კონსოლიდირებული ტენდერი'!L:L,'[1]კონსოლიდირებული ტენდერი'!E:E,B116,'[1]კონსოლიდირებული ტენდერი'!N:N,"სახელმწიფო ბიუჯეტი",'[1]კონსოლიდირებული ტენდერი'!O:O,"3503030702"),0)</f>
        <v>0</v>
      </c>
      <c r="O116" s="25">
        <f>IF(G116="ელ. ტენდერი",SUMIFS('[1]ელ. ტენდერი'!N:N,'[1]ელ. ტენდერი'!G:G,B116,'[1]ელ. ტენდერი'!Q:Q,"სახელმწიფო ბიუჯეტი",'[1]ელ. ტენდერი'!R:R,"350106"),0)</f>
        <v>0</v>
      </c>
      <c r="P116" s="25">
        <f>IF(G116="ელ. ტენდერი",SUMIFS('[1]ელ. ტენდერი'!N:N,'[1]ელ. ტენდერი'!G:G,'30.05.2018'!B116,'[1]ელ. ტენდერი'!Q:Q,"სახელმწიფო ბიუჯეტი",'[1]ელ. ტენდერი'!R:R,"3503030702"),0)</f>
        <v>0</v>
      </c>
      <c r="Q116" s="26">
        <f>F116-SUM(K116:P116)</f>
        <v>4816.5</v>
      </c>
    </row>
    <row r="117" spans="1:17" x14ac:dyDescent="0.25">
      <c r="A117" s="17">
        <v>112</v>
      </c>
      <c r="B117" s="81" t="s">
        <v>201</v>
      </c>
      <c r="C117" s="18" t="s">
        <v>25</v>
      </c>
      <c r="D117" s="31">
        <v>350106</v>
      </c>
      <c r="E117" s="20" t="s">
        <v>202</v>
      </c>
      <c r="F117" s="21">
        <v>40000</v>
      </c>
      <c r="G117" s="22" t="s">
        <v>34</v>
      </c>
      <c r="H117" s="23">
        <v>43101</v>
      </c>
      <c r="I117" s="23">
        <v>43465</v>
      </c>
      <c r="J117" s="36"/>
      <c r="K117" s="25">
        <f>IF(G117="გამ. შესყიდვა",SUMIFS('[1]გამარტივებული შესყიდვა'!L:L,'[1]გამარტივებული შესყიდვა'!K:K,B117,'[1]გამარტივებული შესყიდვა'!N:N,"სახელმწიფო ბიუჯეტი",'[1]გამარტივებული შესყიდვა'!O:O,"350106"),0)</f>
        <v>0</v>
      </c>
      <c r="L117" s="25">
        <f>IF(G117="გამ. შესყიდვა",SUMIFS('[1]გამარტივებული შესყიდვა'!L:L,'[1]გამარტივებული შესყიდვა'!K:K,B117,'[1]გამარტივებული შესყიდვა'!N:N,"სახელმწიფო ბიუჯეტი",'[1]გამარტივებული შესყიდვა'!O:O,"3503030702"),0)</f>
        <v>0</v>
      </c>
      <c r="M117" s="25">
        <f>IF(G117="კონს. ტენდერი",SUMIFS('[1]კონსოლიდირებული ტენდერი'!L:L,'[1]კონსოლიდირებული ტენდერი'!E:E,B117,'[1]კონსოლიდირებული ტენდერი'!N:N,"სახელმწიფო ბიუჯეტი",'[1]კონსოლიდირებული ტენდერი'!O:O,"350106"),0)</f>
        <v>0</v>
      </c>
      <c r="N117" s="25">
        <f>IF(G117="კონს. ტენდერი",SUMIFS('[1]კონსოლიდირებული ტენდერი'!L:L,'[1]კონსოლიდირებული ტენდერი'!E:E,B117,'[1]კონსოლიდირებული ტენდერი'!N:N,"სახელმწიფო ბიუჯეტი",'[1]კონსოლიდირებული ტენდერი'!O:O,"3503030702"),0)</f>
        <v>0</v>
      </c>
      <c r="O117" s="25">
        <f>IF(G117="ელ. ტენდერი",SUMIFS('[1]ელ. ტენდერი'!N:N,'[1]ელ. ტენდერი'!G:G,B117,'[1]ელ. ტენდერი'!Q:Q,"სახელმწიფო ბიუჯეტი",'[1]ელ. ტენდერი'!R:R,"350106"),0)</f>
        <v>0</v>
      </c>
      <c r="P117" s="25">
        <f>IF(G117="ელ. ტენდერი",SUMIFS('[1]ელ. ტენდერი'!N:N,'[1]ელ. ტენდერი'!G:G,'30.05.2018'!B117,'[1]ელ. ტენდერი'!Q:Q,"სახელმწიფო ბიუჯეტი",'[1]ელ. ტენდერი'!R:R,"3503030702"),0)</f>
        <v>0</v>
      </c>
      <c r="Q117" s="26">
        <f t="shared" si="2"/>
        <v>40000</v>
      </c>
    </row>
    <row r="118" spans="1:17" x14ac:dyDescent="0.25">
      <c r="A118" s="17">
        <v>113</v>
      </c>
      <c r="B118" s="81" t="s">
        <v>201</v>
      </c>
      <c r="C118" s="18" t="s">
        <v>25</v>
      </c>
      <c r="D118" s="19">
        <v>3503030702</v>
      </c>
      <c r="E118" s="20" t="s">
        <v>202</v>
      </c>
      <c r="F118" s="21">
        <v>10000</v>
      </c>
      <c r="G118" s="22" t="s">
        <v>34</v>
      </c>
      <c r="H118" s="23">
        <v>43101</v>
      </c>
      <c r="I118" s="23">
        <v>43465</v>
      </c>
      <c r="J118" s="36"/>
      <c r="K118" s="25">
        <f>IF(G118="გამ. შესყიდვა",SUMIFS('[1]გამარტივებული შესყიდვა'!L:L,'[1]გამარტივებული შესყიდვა'!K:K,B118,'[1]გამარტივებული შესყიდვა'!N:N,"სახელმწიფო ბიუჯეტი",'[1]გამარტივებული შესყიდვა'!O:O,"350106"),0)</f>
        <v>0</v>
      </c>
      <c r="L118" s="25">
        <f>IF(G118="გამ. შესყიდვა",SUMIFS('[1]გამარტივებული შესყიდვა'!L:L,'[1]გამარტივებული შესყიდვა'!K:K,B118,'[1]გამარტივებული შესყიდვა'!N:N,"სახელმწიფო ბიუჯეტი",'[1]გამარტივებული შესყიდვა'!O:O,"3503030702"),0)</f>
        <v>0</v>
      </c>
      <c r="M118" s="25">
        <f>IF(G118="კონს. ტენდერი",SUMIFS('[1]კონსოლიდირებული ტენდერი'!L:L,'[1]კონსოლიდირებული ტენდერი'!E:E,B118,'[1]კონსოლიდირებული ტენდერი'!N:N,"სახელმწიფო ბიუჯეტი",'[1]კონსოლიდირებული ტენდერი'!O:O,"350106"),0)</f>
        <v>0</v>
      </c>
      <c r="N118" s="25">
        <f>IF(G118="კონს. ტენდერი",SUMIFS('[1]კონსოლიდირებული ტენდერი'!L:L,'[1]კონსოლიდირებული ტენდერი'!E:E,B118,'[1]კონსოლიდირებული ტენდერი'!N:N,"სახელმწიფო ბიუჯეტი",'[1]კონსოლიდირებული ტენდერი'!O:O,"3503030702"),0)</f>
        <v>0</v>
      </c>
      <c r="O118" s="25">
        <f>IF(G118="ელ. ტენდერი",SUMIFS('[1]ელ. ტენდერი'!N:N,'[1]ელ. ტენდერი'!G:G,B118,'[1]ელ. ტენდერი'!Q:Q,"სახელმწიფო ბიუჯეტი",'[1]ელ. ტენდერი'!R:R,"350106"),0)</f>
        <v>0</v>
      </c>
      <c r="P118" s="25">
        <f>IF(G118="ელ. ტენდერი",SUMIFS('[1]ელ. ტენდერი'!N:N,'[1]ელ. ტენდერი'!G:G,'30.05.2018'!B118,'[1]ელ. ტენდერი'!Q:Q,"სახელმწიფო ბიუჯეტი",'[1]ელ. ტენდერი'!R:R,"3503030702"),0)</f>
        <v>0</v>
      </c>
      <c r="Q118" s="26">
        <f t="shared" si="2"/>
        <v>10000</v>
      </c>
    </row>
    <row r="119" spans="1:17" x14ac:dyDescent="0.25">
      <c r="A119" s="17">
        <v>114</v>
      </c>
      <c r="B119" s="81" t="s">
        <v>203</v>
      </c>
      <c r="C119" s="18" t="s">
        <v>25</v>
      </c>
      <c r="D119" s="31">
        <v>350106</v>
      </c>
      <c r="E119" s="20" t="s">
        <v>204</v>
      </c>
      <c r="F119" s="21">
        <v>4900</v>
      </c>
      <c r="G119" s="22" t="s">
        <v>27</v>
      </c>
      <c r="H119" s="23">
        <v>43101</v>
      </c>
      <c r="I119" s="23">
        <v>43465</v>
      </c>
      <c r="J119" s="36"/>
      <c r="K119" s="25">
        <f>IF(G119="გამ. შესყიდვა",SUMIFS('[1]გამარტივებული შესყიდვა'!L:L,'[1]გამარტივებული შესყიდვა'!K:K,B119,'[1]გამარტივებული შესყიდვა'!N:N,"სახელმწიფო ბიუჯეტი",'[1]გამარტივებული შესყიდვა'!O:O,"350106"),0)</f>
        <v>560</v>
      </c>
      <c r="L119" s="25">
        <f>IF(G119="გამ. შესყიდვა",SUMIFS('[1]გამარტივებული შესყიდვა'!L:L,'[1]გამარტივებული შესყიდვა'!K:K,B119,'[1]გამარტივებული შესყიდვა'!N:N,"სახელმწიფო ბიუჯეტი",'[1]გამარტივებული შესყიდვა'!O:O,"3503030702"),0)</f>
        <v>0</v>
      </c>
      <c r="M119" s="25">
        <f>IF(G119="კონს. ტენდერი",SUMIFS('[1]კონსოლიდირებული ტენდერი'!L:L,'[1]კონსოლიდირებული ტენდერი'!E:E,B119,'[1]კონსოლიდირებული ტენდერი'!N:N,"სახელმწიფო ბიუჯეტი",'[1]კონსოლიდირებული ტენდერი'!O:O,"350106"),0)</f>
        <v>0</v>
      </c>
      <c r="N119" s="25">
        <f>IF(G119="კონს. ტენდერი",SUMIFS('[1]კონსოლიდირებული ტენდერი'!L:L,'[1]კონსოლიდირებული ტენდერი'!E:E,B119,'[1]კონსოლიდირებული ტენდერი'!N:N,"სახელმწიფო ბიუჯეტი",'[1]კონსოლიდირებული ტენდერი'!O:O,"3503030702"),0)</f>
        <v>0</v>
      </c>
      <c r="O119" s="25">
        <f>IF(G119="ელ. ტენდერი",SUMIFS('[1]ელ. ტენდერი'!N:N,'[1]ელ. ტენდერი'!G:G,B119,'[1]ელ. ტენდერი'!Q:Q,"სახელმწიფო ბიუჯეტი",'[1]ელ. ტენდერი'!R:R,"350106"),0)</f>
        <v>0</v>
      </c>
      <c r="P119" s="25">
        <f>IF(G119="ელ. ტენდერი",SUMIFS('[1]ელ. ტენდერი'!N:N,'[1]ელ. ტენდერი'!G:G,'30.05.2018'!B119,'[1]ელ. ტენდერი'!Q:Q,"სახელმწიფო ბიუჯეტი",'[1]ელ. ტენდერი'!R:R,"3503030702"),0)</f>
        <v>0</v>
      </c>
      <c r="Q119" s="26">
        <f t="shared" si="2"/>
        <v>4340</v>
      </c>
    </row>
    <row r="120" spans="1:17" x14ac:dyDescent="0.25">
      <c r="A120" s="17">
        <v>115</v>
      </c>
      <c r="B120" s="72" t="s">
        <v>205</v>
      </c>
      <c r="C120" s="18" t="s">
        <v>25</v>
      </c>
      <c r="D120" s="19">
        <v>3503030702</v>
      </c>
      <c r="E120" s="20" t="s">
        <v>206</v>
      </c>
      <c r="F120" s="21">
        <v>28500</v>
      </c>
      <c r="G120" s="22" t="s">
        <v>34</v>
      </c>
      <c r="H120" s="23">
        <v>43101</v>
      </c>
      <c r="I120" s="23">
        <v>43465</v>
      </c>
      <c r="J120" s="36"/>
      <c r="K120" s="25">
        <f>IF(G120="გამ. შესყიდვა",SUMIFS('[1]გამარტივებული შესყიდვა'!L:L,'[1]გამარტივებული შესყიდვა'!K:K,B120,'[1]გამარტივებული შესყიდვა'!N:N,"სახელმწიფო ბიუჯეტი",'[1]გამარტივებული შესყიდვა'!O:O,"350106"),0)</f>
        <v>0</v>
      </c>
      <c r="L120" s="25">
        <f>IF(G120="გამ. შესყიდვა",SUMIFS('[1]გამარტივებული შესყიდვა'!L:L,'[1]გამარტივებული შესყიდვა'!K:K,B120,'[1]გამარტივებული შესყიდვა'!N:N,"სახელმწიფო ბიუჯეტი",'[1]გამარტივებული შესყიდვა'!O:O,"3503030702"),0)</f>
        <v>0</v>
      </c>
      <c r="M120" s="25">
        <f>IF(G120="კონს. ტენდერი",SUMIFS('[1]კონსოლიდირებული ტენდერი'!L:L,'[1]კონსოლიდირებული ტენდერი'!E:E,B120,'[1]კონსოლიდირებული ტენდერი'!N:N,"სახელმწიფო ბიუჯეტი",'[1]კონსოლიდირებული ტენდერი'!O:O,"350106"),0)</f>
        <v>0</v>
      </c>
      <c r="N120" s="25">
        <f>IF(G120="კონს. ტენდერი",SUMIFS('[1]კონსოლიდირებული ტენდერი'!L:L,'[1]კონსოლიდირებული ტენდერი'!E:E,B120,'[1]კონსოლიდირებული ტენდერი'!N:N,"სახელმწიფო ბიუჯეტი",'[1]კონსოლიდირებული ტენდერი'!O:O,"3503030702"),0)</f>
        <v>0</v>
      </c>
      <c r="O120" s="25">
        <f>IF(G120="ელ. ტენდერი",SUMIFS('[1]ელ. ტენდერი'!N:N,'[1]ელ. ტენდერი'!G:G,B120,'[1]ელ. ტენდერი'!Q:Q,"სახელმწიფო ბიუჯეტი",'[1]ელ. ტენდერი'!R:R,"350106"),0)</f>
        <v>16196.56</v>
      </c>
      <c r="P120" s="25">
        <f>IF(G120="ელ. ტენდერი",SUMIFS('[1]ელ. ტენდერი'!N:N,'[1]ელ. ტენდერი'!G:G,'30.05.2018'!B120,'[1]ელ. ტენდერი'!Q:Q,"სახელმწიფო ბიუჯეტი",'[1]ელ. ტენდერი'!R:R,"3503030702"),0)</f>
        <v>0</v>
      </c>
      <c r="Q120" s="26">
        <f t="shared" si="2"/>
        <v>12303.44</v>
      </c>
    </row>
    <row r="121" spans="1:17" x14ac:dyDescent="0.25">
      <c r="A121" s="17">
        <v>116</v>
      </c>
      <c r="B121" s="72" t="s">
        <v>205</v>
      </c>
      <c r="C121" s="18" t="s">
        <v>25</v>
      </c>
      <c r="D121" s="31">
        <v>350106</v>
      </c>
      <c r="E121" s="20" t="s">
        <v>206</v>
      </c>
      <c r="F121" s="21">
        <v>1000</v>
      </c>
      <c r="G121" s="22" t="s">
        <v>27</v>
      </c>
      <c r="H121" s="23">
        <v>43108</v>
      </c>
      <c r="I121" s="23">
        <v>43131</v>
      </c>
      <c r="J121" s="54" t="s">
        <v>207</v>
      </c>
      <c r="K121" s="25">
        <f>IF(G121="გამ. შესყიდვა",SUMIFS('[1]გამარტივებული შესყიდვა'!L:L,'[1]გამარტივებული შესყიდვა'!K:K,B121,'[1]გამარტივებული შესყიდვა'!N:N,"სახელმწიფო ბიუჯეტი",'[1]გამარტივებული შესყიდვა'!O:O,"350106"),0)</f>
        <v>1000</v>
      </c>
      <c r="L121" s="25">
        <f>IF(G121="გამ. შესყიდვა",SUMIFS('[1]გამარტივებული შესყიდვა'!L:L,'[1]გამარტივებული შესყიდვა'!K:K,B121,'[1]გამარტივებული შესყიდვა'!N:N,"სახელმწიფო ბიუჯეტი",'[1]გამარტივებული შესყიდვა'!O:O,"3503030702"),0)</f>
        <v>0</v>
      </c>
      <c r="M121" s="25">
        <f>IF(G121="კონს. ტენდერი",SUMIFS('[1]კონსოლიდირებული ტენდერი'!L:L,'[1]კონსოლიდირებული ტენდერი'!E:E,B121,'[1]კონსოლიდირებული ტენდერი'!N:N,"სახელმწიფო ბიუჯეტი",'[1]კონსოლიდირებული ტენდერი'!O:O,"350106"),0)</f>
        <v>0</v>
      </c>
      <c r="N121" s="25">
        <f>IF(G121="კონს. ტენდერი",SUMIFS('[1]კონსოლიდირებული ტენდერი'!L:L,'[1]კონსოლიდირებული ტენდერი'!E:E,B121,'[1]კონსოლიდირებული ტენდერი'!N:N,"სახელმწიფო ბიუჯეტი",'[1]კონსოლიდირებული ტენდერი'!O:O,"3503030702"),0)</f>
        <v>0</v>
      </c>
      <c r="O121" s="25">
        <f>IF(G121="ელ. ტენდერი",SUMIFS('[1]ელ. ტენდერი'!N:N,'[1]ელ. ტენდერი'!G:G,B121,'[1]ელ. ტენდერი'!Q:Q,"სახელმწიფო ბიუჯეტი",'[1]ელ. ტენდერი'!R:R,"350106"),0)</f>
        <v>0</v>
      </c>
      <c r="P121" s="25">
        <f>IF(G121="ელ. ტენდერი",SUMIFS('[1]ელ. ტენდერი'!N:N,'[1]ელ. ტენდერი'!G:G,'30.05.2018'!B121,'[1]ელ. ტენდერი'!Q:Q,"სახელმწიფო ბიუჯეტი",'[1]ელ. ტენდერი'!R:R,"3503030702"),0)</f>
        <v>0</v>
      </c>
      <c r="Q121" s="26">
        <f t="shared" si="2"/>
        <v>0</v>
      </c>
    </row>
    <row r="122" spans="1:17" x14ac:dyDescent="0.25">
      <c r="A122" s="17">
        <v>117</v>
      </c>
      <c r="B122" s="81" t="s">
        <v>208</v>
      </c>
      <c r="C122" s="18" t="s">
        <v>25</v>
      </c>
      <c r="D122" s="19">
        <v>3503030702</v>
      </c>
      <c r="E122" s="20" t="s">
        <v>209</v>
      </c>
      <c r="F122" s="21">
        <v>60000</v>
      </c>
      <c r="G122" s="22" t="s">
        <v>34</v>
      </c>
      <c r="H122" s="23">
        <v>43101</v>
      </c>
      <c r="I122" s="23">
        <v>43465</v>
      </c>
      <c r="J122" s="36"/>
      <c r="K122" s="25">
        <f>IF(G122="გამ. შესყიდვა",SUMIFS('[1]გამარტივებული შესყიდვა'!L:L,'[1]გამარტივებული შესყიდვა'!K:K,B122,'[1]გამარტივებული შესყიდვა'!N:N,"სახელმწიფო ბიუჯეტი",'[1]გამარტივებული შესყიდვა'!O:O,"350106"),0)</f>
        <v>0</v>
      </c>
      <c r="L122" s="25">
        <f>IF(G122="გამ. შესყიდვა",SUMIFS('[1]გამარტივებული შესყიდვა'!L:L,'[1]გამარტივებული შესყიდვა'!K:K,B122,'[1]გამარტივებული შესყიდვა'!N:N,"სახელმწიფო ბიუჯეტი",'[1]გამარტივებული შესყიდვა'!O:O,"3503030702"),0)</f>
        <v>0</v>
      </c>
      <c r="M122" s="25">
        <f>IF(G122="კონს. ტენდერი",SUMIFS('[1]კონსოლიდირებული ტენდერი'!L:L,'[1]კონსოლიდირებული ტენდერი'!E:E,B122,'[1]კონსოლიდირებული ტენდერი'!N:N,"სახელმწიფო ბიუჯეტი",'[1]კონსოლიდირებული ტენდერი'!O:O,"350106"),0)</f>
        <v>0</v>
      </c>
      <c r="N122" s="25">
        <f>IF(G122="კონს. ტენდერი",SUMIFS('[1]კონსოლიდირებული ტენდერი'!L:L,'[1]კონსოლიდირებული ტენდერი'!E:E,B122,'[1]კონსოლიდირებული ტენდერი'!N:N,"სახელმწიფო ბიუჯეტი",'[1]კონსოლიდირებული ტენდერი'!O:O,"3503030702"),0)</f>
        <v>0</v>
      </c>
      <c r="O122" s="25">
        <f>IF(G122="ელ. ტენდერი",SUMIFS('[1]ელ. ტენდერი'!N:N,'[1]ელ. ტენდერი'!G:G,B122,'[1]ელ. ტენდერი'!Q:Q,"სახელმწიფო ბიუჯეტი",'[1]ელ. ტენდერი'!R:R,"350106"),0)</f>
        <v>1532.82</v>
      </c>
      <c r="P122" s="25">
        <f>IF(G122="ელ. ტენდერი",SUMIFS('[1]ელ. ტენდერი'!N:N,'[1]ელ. ტენდერი'!G:G,'30.05.2018'!B122,'[1]ელ. ტენდერი'!Q:Q,"სახელმწიფო ბიუჯეტი",'[1]ელ. ტენდერი'!R:R,"3503030702"),0)</f>
        <v>40808.199999999997</v>
      </c>
      <c r="Q122" s="26">
        <f t="shared" si="2"/>
        <v>17658.980000000003</v>
      </c>
    </row>
    <row r="123" spans="1:17" x14ac:dyDescent="0.25">
      <c r="A123" s="17">
        <v>118</v>
      </c>
      <c r="B123" s="81" t="s">
        <v>210</v>
      </c>
      <c r="C123" s="18" t="s">
        <v>25</v>
      </c>
      <c r="D123" s="31">
        <v>350106</v>
      </c>
      <c r="E123" s="20" t="s">
        <v>211</v>
      </c>
      <c r="F123" s="21">
        <v>4490</v>
      </c>
      <c r="G123" s="22" t="s">
        <v>27</v>
      </c>
      <c r="H123" s="23">
        <v>43101</v>
      </c>
      <c r="I123" s="23">
        <v>43465</v>
      </c>
      <c r="J123" s="36"/>
      <c r="K123" s="25">
        <f>IF(G123="გამ. შესყიდვა",SUMIFS('[1]გამარტივებული შესყიდვა'!L:L,'[1]გამარტივებული შესყიდვა'!K:K,B123,'[1]გამარტივებული შესყიდვა'!N:N,"სახელმწიფო ბიუჯეტი",'[1]გამარტივებული შესყიდვა'!O:O,"350106"),0)</f>
        <v>150</v>
      </c>
      <c r="L123" s="25">
        <f>IF(G123="გამ. შესყიდვა",SUMIFS('[1]გამარტივებული შესყიდვა'!L:L,'[1]გამარტივებული შესყიდვა'!K:K,B123,'[1]გამარტივებული შესყიდვა'!N:N,"სახელმწიფო ბიუჯეტი",'[1]გამარტივებული შესყიდვა'!O:O,"3503030702"),0)</f>
        <v>0</v>
      </c>
      <c r="M123" s="25">
        <f>IF(G123="კონს. ტენდერი",SUMIFS('[1]კონსოლიდირებული ტენდერი'!L:L,'[1]კონსოლიდირებული ტენდერი'!E:E,B123,'[1]კონსოლიდირებული ტენდერი'!N:N,"სახელმწიფო ბიუჯეტი",'[1]კონსოლიდირებული ტენდერი'!O:O,"350106"),0)</f>
        <v>0</v>
      </c>
      <c r="N123" s="25">
        <f>IF(G123="კონს. ტენდერი",SUMIFS('[1]კონსოლიდირებული ტენდერი'!L:L,'[1]კონსოლიდირებული ტენდერი'!E:E,B123,'[1]კონსოლიდირებული ტენდერი'!N:N,"სახელმწიფო ბიუჯეტი",'[1]კონსოლიდირებული ტენდერი'!O:O,"3503030702"),0)</f>
        <v>0</v>
      </c>
      <c r="O123" s="25">
        <f>IF(G123="ელ. ტენდერი",SUMIFS('[1]ელ. ტენდერი'!N:N,'[1]ელ. ტენდერი'!G:G,B123,'[1]ელ. ტენდერი'!Q:Q,"სახელმწიფო ბიუჯეტი",'[1]ელ. ტენდერი'!R:R,"350106"),0)</f>
        <v>0</v>
      </c>
      <c r="P123" s="25">
        <f>IF(G123="ელ. ტენდერი",SUMIFS('[1]ელ. ტენდერი'!N:N,'[1]ელ. ტენდერი'!G:G,'30.05.2018'!B123,'[1]ელ. ტენდერი'!Q:Q,"სახელმწიფო ბიუჯეტი",'[1]ელ. ტენდერი'!R:R,"3503030702"),0)</f>
        <v>0</v>
      </c>
      <c r="Q123" s="26">
        <f t="shared" si="2"/>
        <v>4340</v>
      </c>
    </row>
    <row r="124" spans="1:17" x14ac:dyDescent="0.25">
      <c r="A124" s="17">
        <v>119</v>
      </c>
      <c r="B124" s="81" t="s">
        <v>210</v>
      </c>
      <c r="C124" s="18" t="s">
        <v>25</v>
      </c>
      <c r="D124" s="19">
        <v>3503030702</v>
      </c>
      <c r="E124" s="20" t="s">
        <v>211</v>
      </c>
      <c r="F124" s="21">
        <v>500</v>
      </c>
      <c r="G124" s="22" t="s">
        <v>27</v>
      </c>
      <c r="H124" s="23">
        <v>43248</v>
      </c>
      <c r="I124" s="23">
        <v>43465</v>
      </c>
      <c r="J124" s="36"/>
      <c r="K124" s="25">
        <f>IF(G124="გამ. შესყიდვა",SUMIFS('[1]გამარტივებული შესყიდვა'!L:L,'[1]გამარტივებული შესყიდვა'!K:K,B124,'[1]გამარტივებული შესყიდვა'!N:N,"სახელმწიფო ბიუჯეტი",'[1]გამარტივებული შესყიდვა'!O:O,"350106"),0)</f>
        <v>150</v>
      </c>
      <c r="L124" s="25">
        <f>IF(G124="გამ. შესყიდვა",SUMIFS('[1]გამარტივებული შესყიდვა'!L:L,'[1]გამარტივებული შესყიდვა'!K:K,B124,'[1]გამარტივებული შესყიდვა'!N:N,"სახელმწიფო ბიუჯეტი",'[1]გამარტივებული შესყიდვა'!O:O,"3503030702"),0)</f>
        <v>0</v>
      </c>
      <c r="M124" s="25">
        <f>IF(G124="კონს. ტენდერი",SUMIFS('[1]კონსოლიდირებული ტენდერი'!L:L,'[1]კონსოლიდირებული ტენდერი'!E:E,B124,'[1]კონსოლიდირებული ტენდერი'!N:N,"სახელმწიფო ბიუჯეტი",'[1]კონსოლიდირებული ტენდერი'!O:O,"350106"),0)</f>
        <v>0</v>
      </c>
      <c r="N124" s="25">
        <f>IF(G124="კონს. ტენდერი",SUMIFS('[1]კონსოლიდირებული ტენდერი'!L:L,'[1]კონსოლიდირებული ტენდერი'!E:E,B124,'[1]კონსოლიდირებული ტენდერი'!N:N,"სახელმწიფო ბიუჯეტი",'[1]კონსოლიდირებული ტენდერი'!O:O,"3503030702"),0)</f>
        <v>0</v>
      </c>
      <c r="O124" s="25">
        <f>IF(G124="ელ. ტენდერი",SUMIFS('[1]ელ. ტენდერი'!N:N,'[1]ელ. ტენდერი'!G:G,B124,'[1]ელ. ტენდერი'!Q:Q,"სახელმწიფო ბიუჯეტი",'[1]ელ. ტენდერი'!R:R,"350106"),0)</f>
        <v>0</v>
      </c>
      <c r="P124" s="25">
        <f>IF(G124="ელ. ტენდერი",SUMIFS('[1]ელ. ტენდერი'!N:N,'[1]ელ. ტენდერი'!G:G,'30.05.2018'!B124,'[1]ელ. ტენდერი'!Q:Q,"სახელმწიფო ბიუჯეტი",'[1]ელ. ტენდერი'!R:R,"3503030702"),0)</f>
        <v>0</v>
      </c>
      <c r="Q124" s="26">
        <f t="shared" si="2"/>
        <v>350</v>
      </c>
    </row>
    <row r="125" spans="1:17" x14ac:dyDescent="0.25">
      <c r="A125" s="17">
        <v>120</v>
      </c>
      <c r="B125" s="81" t="s">
        <v>212</v>
      </c>
      <c r="C125" s="18" t="s">
        <v>213</v>
      </c>
      <c r="D125" s="19">
        <v>3503030702</v>
      </c>
      <c r="E125" s="20" t="s">
        <v>214</v>
      </c>
      <c r="F125" s="21">
        <f>120000-35000</f>
        <v>85000</v>
      </c>
      <c r="G125" s="22" t="s">
        <v>34</v>
      </c>
      <c r="H125" s="23">
        <v>43101</v>
      </c>
      <c r="I125" s="23">
        <v>43465</v>
      </c>
      <c r="J125" s="36"/>
      <c r="K125" s="25">
        <f>IF(G125="გამ. შესყიდვა",SUMIFS('[1]გამარტივებული შესყიდვა'!L:L,'[1]გამარტივებული შესყიდვა'!K:K,B125,'[1]გამარტივებული შესყიდვა'!N:N,"სახელმწიფო ბიუჯეტი",'[1]გამარტივებული შესყიდვა'!O:O,"350106"),0)</f>
        <v>0</v>
      </c>
      <c r="L125" s="25">
        <f>IF(G125="გამ. შესყიდვა",SUMIFS('[1]გამარტივებული შესყიდვა'!L:L,'[1]გამარტივებული შესყიდვა'!K:K,B125,'[1]გამარტივებული შესყიდვა'!N:N,"სახელმწიფო ბიუჯეტი",'[1]გამარტივებული შესყიდვა'!O:O,"3503030702"),0)</f>
        <v>0</v>
      </c>
      <c r="M125" s="25">
        <f>IF(G125="კონს. ტენდერი",SUMIFS('[1]კონსოლიდირებული ტენდერი'!L:L,'[1]კონსოლიდირებული ტენდერი'!E:E,B125,'[1]კონსოლიდირებული ტენდერი'!N:N,"სახელმწიფო ბიუჯეტი",'[1]კონსოლიდირებული ტენდერი'!O:O,"350106"),0)</f>
        <v>0</v>
      </c>
      <c r="N125" s="25">
        <f>IF(G125="კონს. ტენდერი",SUMIFS('[1]კონსოლიდირებული ტენდერი'!L:L,'[1]კონსოლიდირებული ტენდერი'!E:E,B125,'[1]კონსოლიდირებული ტენდერი'!N:N,"სახელმწიფო ბიუჯეტი",'[1]კონსოლიდირებული ტენდერი'!O:O,"3503030702"),0)</f>
        <v>0</v>
      </c>
      <c r="O125" s="25">
        <f>IF(G125="ელ. ტენდერი",SUMIFS('[1]ელ. ტენდერი'!N:N,'[1]ელ. ტენდერი'!G:G,B125,'[1]ელ. ტენდერი'!Q:Q,"სახელმწიფო ბიუჯეტი",'[1]ელ. ტენდერი'!R:R,"350106"),0)</f>
        <v>0</v>
      </c>
      <c r="P125" s="25">
        <f>IF(G125="ელ. ტენდერი",SUMIFS('[1]ელ. ტენდერი'!N:N,'[1]ელ. ტენდერი'!G:G,'30.05.2018'!B125,'[1]ელ. ტენდერი'!Q:Q,"სახელმწიფო ბიუჯეტი",'[1]ელ. ტენდერი'!R:R,"3503030702"),0)</f>
        <v>0</v>
      </c>
      <c r="Q125" s="26">
        <f t="shared" si="2"/>
        <v>85000</v>
      </c>
    </row>
    <row r="126" spans="1:17" x14ac:dyDescent="0.25">
      <c r="A126" s="17">
        <v>121</v>
      </c>
      <c r="B126" s="81" t="s">
        <v>212</v>
      </c>
      <c r="C126" s="18" t="s">
        <v>213</v>
      </c>
      <c r="D126" s="19">
        <v>3503030702</v>
      </c>
      <c r="E126" s="20" t="s">
        <v>214</v>
      </c>
      <c r="F126" s="21">
        <v>220000</v>
      </c>
      <c r="G126" s="22" t="s">
        <v>27</v>
      </c>
      <c r="H126" s="23">
        <v>43101</v>
      </c>
      <c r="I126" s="23">
        <v>43465</v>
      </c>
      <c r="J126" s="47" t="s">
        <v>39</v>
      </c>
      <c r="K126" s="25">
        <f>IF(G126="გამ. შესყიდვა",SUMIFS('[1]გამარტივებული შესყიდვა'!L:L,'[1]გამარტივებული შესყიდვა'!K:K,B126,'[1]გამარტივებული შესყიდვა'!N:N,"სახელმწიფო ბიუჯეტი",'[1]გამარტივებული შესყიდვა'!O:O,"350106"),0)</f>
        <v>0</v>
      </c>
      <c r="L126" s="25">
        <f>IF(G126="გამ. შესყიდვა",SUMIFS('[1]გამარტივებული შესყიდვა'!L:L,'[1]გამარტივებული შესყიდვა'!K:K,B126,'[1]გამარტივებული შესყიდვა'!N:N,"სახელმწიფო ბიუჯეტი",'[1]გამარტივებული შესყიდვა'!O:O,"3503030702",'[1]გამარტივებული შესყიდვა'!Q:Q,"„2018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SMP170003137"),0)</f>
        <v>0</v>
      </c>
      <c r="M126" s="25">
        <f>IF(G126="კონს. ტენდერი",SUMIFS('[1]კონსოლიდირებული ტენდერი'!L:L,'[1]კონსოლიდირებული ტენდერი'!E:E,B126,'[1]კონსოლიდირებული ტენდერი'!N:N,"სახელმწიფო ბიუჯეტი",'[1]კონსოლიდირებული ტენდერი'!O:O,"350106"),0)</f>
        <v>0</v>
      </c>
      <c r="N126" s="25">
        <f>IF(G126="კონს. ტენდერი",SUMIFS('[1]კონსოლიდირებული ტენდერი'!L:L,'[1]კონსოლიდირებული ტენდერი'!E:E,B126,'[1]კონსოლიდირებული ტენდერი'!N:N,"სახელმწიფო ბიუჯეტი",'[1]კონსოლიდირებული ტენდერი'!O:O,"3503030702"),0)</f>
        <v>0</v>
      </c>
      <c r="O126" s="25">
        <f>IF(G126="ელ. ტენდერი",SUMIFS('[1]ელ. ტენდერი'!N:N,'[1]ელ. ტენდერი'!G:G,B126,'[1]ელ. ტენდერი'!Q:Q,"სახელმწიფო ბიუჯეტი",'[1]ელ. ტენდერი'!R:R,"350106"),0)</f>
        <v>0</v>
      </c>
      <c r="P126" s="25">
        <f>IF(G126="ელ. ტენდერი",SUMIFS('[1]ელ. ტენდერი'!N:N,'[1]ელ. ტენდერი'!G:G,'30.05.2018'!B126,'[1]ელ. ტენდერი'!Q:Q,"სახელმწიფო ბიუჯეტი",'[1]ელ. ტენდერი'!R:R,"3503030702"),0)</f>
        <v>0</v>
      </c>
      <c r="Q126" s="26">
        <f t="shared" si="2"/>
        <v>220000</v>
      </c>
    </row>
    <row r="127" spans="1:17" x14ac:dyDescent="0.25">
      <c r="A127" s="17">
        <v>122</v>
      </c>
      <c r="B127" s="81" t="s">
        <v>212</v>
      </c>
      <c r="C127" s="18" t="s">
        <v>213</v>
      </c>
      <c r="D127" s="19">
        <v>3503030702</v>
      </c>
      <c r="E127" s="20" t="s">
        <v>214</v>
      </c>
      <c r="F127" s="21">
        <v>50000</v>
      </c>
      <c r="G127" s="22" t="s">
        <v>27</v>
      </c>
      <c r="H127" s="23">
        <v>43101</v>
      </c>
      <c r="I127" s="23">
        <v>43465</v>
      </c>
      <c r="J127" s="47" t="s">
        <v>39</v>
      </c>
      <c r="K127" s="25">
        <f>IF(G127="გამ. შესყიდვა",SUMIFS('[1]გამარტივებული შესყიდვა'!L:L,'[1]გამარტივებული შესყიდვა'!K:K,B127,'[1]გამარტივებული შესყიდვა'!N:N,"სახელმწიფო ბიუჯეტი",'[1]გამარტივებული შესყიდვა'!O:O,"350106"),0)</f>
        <v>0</v>
      </c>
      <c r="L127" s="25">
        <f>IF(G127="გამ. შესყიდვა",SUMIFS('[1]გამარტივებული შესყიდვა'!L:L,'[1]გამარტივებული შესყიდვა'!K:K,B127,'[1]გამარტივებული შესყიდვა'!N:N,"სახელმწიფო ბიუჯეტი",'[1]გამარტივებული შესყიდვა'!O:O,"3503030702",'[1]გამარტივებული შესყიდვა'!Q:Q,"„2018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SMP170003137"),0)</f>
        <v>0</v>
      </c>
      <c r="M127" s="25">
        <f>IF(G127="კონს. ტენდერი",SUMIFS('[1]კონსოლიდირებული ტენდერი'!L:L,'[1]კონსოლიდირებული ტენდერი'!E:E,B127,'[1]კონსოლიდირებული ტენდერი'!N:N,"სახელმწიფო ბიუჯეტი",'[1]კონსოლიდირებული ტენდერი'!O:O,"350106"),0)</f>
        <v>0</v>
      </c>
      <c r="N127" s="25">
        <f>IF(G127="კონს. ტენდერი",SUMIFS('[1]კონსოლიდირებული ტენდერი'!L:L,'[1]კონსოლიდირებული ტენდერი'!E:E,B127,'[1]კონსოლიდირებული ტენდერი'!N:N,"სახელმწიფო ბიუჯეტი",'[1]კონსოლიდირებული ტენდერი'!O:O,"3503030702"),0)</f>
        <v>0</v>
      </c>
      <c r="O127" s="25">
        <f>IF(G127="ელ. ტენდერი",SUMIFS('[1]ელ. ტენდერი'!N:N,'[1]ელ. ტენდერი'!G:G,B127,'[1]ელ. ტენდერი'!Q:Q,"სახელმწიფო ბიუჯეტი",'[1]ელ. ტენდერი'!R:R,"350106"),0)</f>
        <v>0</v>
      </c>
      <c r="P127" s="25">
        <f>IF(G127="ელ. ტენდერი",SUMIFS('[1]ელ. ტენდერი'!N:N,'[1]ელ. ტენდერი'!G:G,'30.05.2018'!B127,'[1]ელ. ტენდერი'!Q:Q,"სახელმწიფო ბიუჯეტი",'[1]ელ. ტენდერი'!R:R,"3503030702"),0)</f>
        <v>0</v>
      </c>
      <c r="Q127" s="26">
        <f t="shared" si="2"/>
        <v>50000</v>
      </c>
    </row>
    <row r="128" spans="1:17" x14ac:dyDescent="0.25">
      <c r="A128" s="17">
        <v>123</v>
      </c>
      <c r="B128" s="81" t="s">
        <v>212</v>
      </c>
      <c r="C128" s="18" t="s">
        <v>213</v>
      </c>
      <c r="D128" s="19">
        <v>3503030702</v>
      </c>
      <c r="E128" s="20" t="s">
        <v>214</v>
      </c>
      <c r="F128" s="21">
        <v>1167000</v>
      </c>
      <c r="G128" s="22" t="s">
        <v>27</v>
      </c>
      <c r="H128" s="23">
        <v>43101</v>
      </c>
      <c r="I128" s="23">
        <v>43465</v>
      </c>
      <c r="J128" s="47" t="s">
        <v>215</v>
      </c>
      <c r="K128" s="25">
        <f>IF(G128="გამ. შესყიდვა",SUMIFS('[1]გამარტივებული შესყიდვა'!L:L,'[1]გამარტივებული შესყიდვა'!K:K,B128,'[1]გამარტივებული შესყიდვა'!N:N,"სახელმწიფო ბიუჯეტი",'[1]გამარტივებული შესყიდვა'!O:O,"350106"),0)</f>
        <v>0</v>
      </c>
      <c r="L128" s="25">
        <f>IF(G128="გამ. შესყიდვა",SUMIFS('[1]გამარტივებული შესყიდვა'!L:L,'[1]გამარტივებული შესყიდვა'!K:K,B128,'[1]გამარტივებული შესყიდვა'!N:N,"სახელმწიფო ბიუჯეტი",'[1]გამარტივებული შესყიდვა'!O:O,"3503030702",'[1]გამარტივებული შესყიდვა'!Q:Q,"„2018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SMP170003137"),0)</f>
        <v>1167000</v>
      </c>
      <c r="M128" s="25">
        <f>IF(G128="კონს. ტენდერი",SUMIFS('[1]კონსოლიდირებული ტენდერი'!L:L,'[1]კონსოლიდირებული ტენდერი'!E:E,B128,'[1]კონსოლიდირებული ტენდერი'!N:N,"სახელმწიფო ბიუჯეტი",'[1]კონსოლიდირებული ტენდერი'!O:O,"350106"),0)</f>
        <v>0</v>
      </c>
      <c r="N128" s="25">
        <f>IF(G128="კონს. ტენდერი",SUMIFS('[1]კონსოლიდირებული ტენდერი'!L:L,'[1]კონსოლიდირებული ტენდერი'!E:E,B128,'[1]კონსოლიდირებული ტენდერი'!N:N,"სახელმწიფო ბიუჯეტი",'[1]კონსოლიდირებული ტენდერი'!O:O,"3503030702"),0)</f>
        <v>0</v>
      </c>
      <c r="O128" s="25">
        <f>IF(G128="ელ. ტენდერი",SUMIFS('[1]ელ. ტენდერი'!N:N,'[1]ელ. ტენდერი'!G:G,B128,'[1]ელ. ტენდერი'!Q:Q,"სახელმწიფო ბიუჯეტი",'[1]ელ. ტენდერი'!R:R,"350106"),0)</f>
        <v>0</v>
      </c>
      <c r="P128" s="25">
        <f>IF(G128="ელ. ტენდერი",SUMIFS('[1]ელ. ტენდერი'!N:N,'[1]ელ. ტენდერი'!G:G,'30.05.2018'!B128,'[1]ელ. ტენდერი'!Q:Q,"სახელმწიფო ბიუჯეტი",'[1]ელ. ტენდერი'!R:R,"3503030702"),0)</f>
        <v>0</v>
      </c>
      <c r="Q128" s="26">
        <f t="shared" si="2"/>
        <v>0</v>
      </c>
    </row>
    <row r="129" spans="1:17" x14ac:dyDescent="0.25">
      <c r="A129" s="17">
        <v>124</v>
      </c>
      <c r="B129" s="81" t="s">
        <v>216</v>
      </c>
      <c r="C129" s="18" t="s">
        <v>25</v>
      </c>
      <c r="D129" s="19">
        <v>3503030702</v>
      </c>
      <c r="E129" s="20" t="s">
        <v>217</v>
      </c>
      <c r="F129" s="21">
        <f>90000+35000</f>
        <v>125000</v>
      </c>
      <c r="G129" s="22" t="s">
        <v>34</v>
      </c>
      <c r="H129" s="23">
        <v>43101</v>
      </c>
      <c r="I129" s="23">
        <v>43465</v>
      </c>
      <c r="J129" s="41"/>
      <c r="K129" s="25">
        <f>IF(G129="გამ. შესყიდვა",SUMIFS('[1]გამარტივებული შესყიდვა'!L:L,'[1]გამარტივებული შესყიდვა'!K:K,B129,'[1]გამარტივებული შესყიდვა'!N:N,"სახელმწიფო ბიუჯეტი",'[1]გამარტივებული შესყიდვა'!O:O,"350106"),0)</f>
        <v>0</v>
      </c>
      <c r="L129" s="25">
        <f>IF(G129="გამ. შესყიდვა",SUMIFS('[1]გამარტივებული შესყიდვა'!L:L,'[1]გამარტივებული შესყიდვა'!K:K,B129,'[1]გამარტივებული შესყიდვა'!N:N,"სახელმწიფო ბიუჯეტი",'[1]გამარტივებული შესყიდვა'!O:O,"3503030702"),0)</f>
        <v>0</v>
      </c>
      <c r="M129" s="25">
        <f>IF(G129="კონს. ტენდერი",SUMIFS('[1]კონსოლიდირებული ტენდერი'!L:L,'[1]კონსოლიდირებული ტენდერი'!E:E,B129,'[1]კონსოლიდირებული ტენდერი'!N:N,"სახელმწიფო ბიუჯეტი",'[1]კონსოლიდირებული ტენდერი'!O:O,"350106"),0)</f>
        <v>0</v>
      </c>
      <c r="N129" s="25">
        <f>IF(G129="კონს. ტენდერი",SUMIFS('[1]კონსოლიდირებული ტენდერი'!L:L,'[1]კონსოლიდირებული ტენდერი'!E:E,B129,'[1]კონსოლიდირებული ტენდერი'!N:N,"სახელმწიფო ბიუჯეტი",'[1]კონსოლიდირებული ტენდერი'!O:O,"3503030702"),0)</f>
        <v>0</v>
      </c>
      <c r="O129" s="25">
        <f>IF(G129="ელ. ტენდერი",SUMIFS('[1]ელ. ტენდერი'!N:N,'[1]ელ. ტენდერი'!G:G,B129,'[1]ელ. ტენდერი'!Q:Q,"სახელმწიფო ბიუჯეტი",'[1]ელ. ტენდერი'!R:R,"350106"),0)</f>
        <v>0</v>
      </c>
      <c r="P129" s="25">
        <f>IF(G129="ელ. ტენდერი",SUMIFS('[1]ელ. ტენდერი'!N:N,'[1]ელ. ტენდერი'!G:G,'30.05.2018'!B129,'[1]ელ. ტენდერი'!Q:Q,"სახელმწიფო ბიუჯეტი",'[1]ელ. ტენდერი'!R:R,"3503030702"),0)</f>
        <v>122476</v>
      </c>
      <c r="Q129" s="26">
        <f t="shared" si="2"/>
        <v>2524</v>
      </c>
    </row>
    <row r="130" spans="1:17" x14ac:dyDescent="0.25">
      <c r="A130" s="17">
        <v>125</v>
      </c>
      <c r="B130" s="81" t="s">
        <v>218</v>
      </c>
      <c r="C130" s="18" t="s">
        <v>25</v>
      </c>
      <c r="D130" s="31">
        <v>350106</v>
      </c>
      <c r="E130" s="20" t="s">
        <v>219</v>
      </c>
      <c r="F130" s="21">
        <v>3000</v>
      </c>
      <c r="G130" s="22" t="s">
        <v>27</v>
      </c>
      <c r="H130" s="23">
        <v>43101</v>
      </c>
      <c r="I130" s="23">
        <v>43465</v>
      </c>
      <c r="J130" s="36"/>
      <c r="K130" s="25">
        <f>IF(G130="გამ. შესყიდვა",SUMIFS('[1]გამარტივებული შესყიდვა'!L:L,'[1]გამარტივებული შესყიდვა'!K:K,B130,'[1]გამარტივებული შესყიდვა'!N:N,"სახელმწიფო ბიუჯეტი",'[1]გამარტივებული შესყიდვა'!O:O,"350106"),0)</f>
        <v>1490.8</v>
      </c>
      <c r="L130" s="25">
        <f>IF(G130="გამ. შესყიდვა",SUMIFS('[1]გამარტივებული შესყიდვა'!L:L,'[1]გამარტივებული შესყიდვა'!K:K,B130,'[1]გამარტივებული შესყიდვა'!N:N,"სახელმწიფო ბიუჯეტი",'[1]გამარტივებული შესყიდვა'!O:O,"3503030702"),0)</f>
        <v>0</v>
      </c>
      <c r="M130" s="25">
        <f>IF(G130="კონს. ტენდერი",SUMIFS('[1]კონსოლიდირებული ტენდერი'!L:L,'[1]კონსოლიდირებული ტენდერი'!E:E,B130,'[1]კონსოლიდირებული ტენდერი'!N:N,"სახელმწიფო ბიუჯეტი",'[1]კონსოლიდირებული ტენდერი'!O:O,"350106"),0)</f>
        <v>0</v>
      </c>
      <c r="N130" s="25">
        <f>IF(G130="კონს. ტენდერი",SUMIFS('[1]კონსოლიდირებული ტენდერი'!L:L,'[1]კონსოლიდირებული ტენდერი'!E:E,B130,'[1]კონსოლიდირებული ტენდერი'!N:N,"სახელმწიფო ბიუჯეტი",'[1]კონსოლიდირებული ტენდერი'!O:O,"3503030702"),0)</f>
        <v>0</v>
      </c>
      <c r="O130" s="25">
        <f>IF(G130="ელ. ტენდერი",SUMIFS('[1]ელ. ტენდერი'!N:N,'[1]ელ. ტენდერი'!G:G,B130,'[1]ელ. ტენდერი'!Q:Q,"სახელმწიფო ბიუჯეტი",'[1]ელ. ტენდერი'!R:R,"350106"),0)</f>
        <v>0</v>
      </c>
      <c r="P130" s="25">
        <f>IF(G130="ელ. ტენდერი",SUMIFS('[1]ელ. ტენდერი'!N:N,'[1]ელ. ტენდერი'!G:G,'30.05.2018'!B130,'[1]ელ. ტენდერი'!Q:Q,"სახელმწიფო ბიუჯეტი",'[1]ელ. ტენდერი'!R:R,"3503030702"),0)</f>
        <v>0</v>
      </c>
      <c r="Q130" s="26">
        <f t="shared" si="2"/>
        <v>1509.2</v>
      </c>
    </row>
    <row r="131" spans="1:17" x14ac:dyDescent="0.25">
      <c r="A131" s="17">
        <v>126</v>
      </c>
      <c r="B131" s="81" t="s">
        <v>218</v>
      </c>
      <c r="C131" s="18" t="s">
        <v>25</v>
      </c>
      <c r="D131" s="19">
        <v>3503030702</v>
      </c>
      <c r="E131" s="20" t="s">
        <v>219</v>
      </c>
      <c r="F131" s="21">
        <v>1990</v>
      </c>
      <c r="G131" s="22" t="s">
        <v>27</v>
      </c>
      <c r="H131" s="23">
        <v>43101</v>
      </c>
      <c r="I131" s="23">
        <v>43465</v>
      </c>
      <c r="J131" s="36"/>
      <c r="K131" s="25">
        <f>IF(G131="გამ. შესყიდვა",SUMIFS('[1]გამარტივებული შესყიდვა'!L:L,'[1]გამარტივებული შესყიდვა'!K:K,B131,'[1]გამარტივებული შესყიდვა'!N:N,"სახელმწიფო ბიუჯეტი",'[1]გამარტივებული შესყიდვა'!O:O,"350106"),0)</f>
        <v>1490.8</v>
      </c>
      <c r="L131" s="25">
        <f>IF(G131="გამ. შესყიდვა",SUMIFS('[1]გამარტივებული შესყიდვა'!L:L,'[1]გამარტივებული შესყიდვა'!K:K,B131,'[1]გამარტივებული შესყიდვა'!N:N,"სახელმწიფო ბიუჯეტი",'[1]გამარტივებული შესყიდვა'!O:O,"3503030702"),0)</f>
        <v>0</v>
      </c>
      <c r="M131" s="25">
        <f>IF(G131="კონს. ტენდერი",SUMIFS('[1]კონსოლიდირებული ტენდერი'!L:L,'[1]კონსოლიდირებული ტენდერი'!E:E,B131,'[1]კონსოლიდირებული ტენდერი'!N:N,"სახელმწიფო ბიუჯეტი",'[1]კონსოლიდირებული ტენდერი'!O:O,"350106"),0)</f>
        <v>0</v>
      </c>
      <c r="N131" s="25">
        <f>IF(G131="კონს. ტენდერი",SUMIFS('[1]კონსოლიდირებული ტენდერი'!L:L,'[1]კონსოლიდირებული ტენდერი'!E:E,B131,'[1]კონსოლიდირებული ტენდერი'!N:N,"სახელმწიფო ბიუჯეტი",'[1]კონსოლიდირებული ტენდერი'!O:O,"3503030702"),0)</f>
        <v>0</v>
      </c>
      <c r="O131" s="25">
        <f>IF(G131="ელ. ტენდერი",SUMIFS('[1]ელ. ტენდერი'!N:N,'[1]ელ. ტენდერი'!G:G,B131,'[1]ელ. ტენდერი'!Q:Q,"სახელმწიფო ბიუჯეტი",'[1]ელ. ტენდერი'!R:R,"350106"),0)</f>
        <v>0</v>
      </c>
      <c r="P131" s="25">
        <f>IF(G131="ელ. ტენდერი",SUMIFS('[1]ელ. ტენდერი'!N:N,'[1]ელ. ტენდერი'!G:G,'30.05.2018'!B131,'[1]ელ. ტენდერი'!Q:Q,"სახელმწიფო ბიუჯეტი",'[1]ელ. ტენდერი'!R:R,"3503030702"),0)</f>
        <v>0</v>
      </c>
      <c r="Q131" s="26">
        <f t="shared" si="2"/>
        <v>499.20000000000005</v>
      </c>
    </row>
    <row r="132" spans="1:17" x14ac:dyDescent="0.25">
      <c r="A132" s="17">
        <v>127</v>
      </c>
      <c r="B132" s="81" t="s">
        <v>220</v>
      </c>
      <c r="C132" s="18" t="s">
        <v>25</v>
      </c>
      <c r="D132" s="31">
        <v>350106</v>
      </c>
      <c r="E132" s="20" t="s">
        <v>221</v>
      </c>
      <c r="F132" s="21">
        <v>4990</v>
      </c>
      <c r="G132" s="22" t="s">
        <v>27</v>
      </c>
      <c r="H132" s="23">
        <v>43101</v>
      </c>
      <c r="I132" s="23">
        <v>43465</v>
      </c>
      <c r="J132" s="28"/>
      <c r="K132" s="25">
        <f>IF(G132="გამ. შესყიდვა",SUMIFS('[1]გამარტივებული შესყიდვა'!L:L,'[1]გამარტივებული შესყიდვა'!K:K,B132,'[1]გამარტივებული შესყიდვა'!N:N,"სახელმწიფო ბიუჯეტი",'[1]გამარტივებული შესყიდვა'!O:O,"350106"),0)</f>
        <v>360</v>
      </c>
      <c r="L132" s="25">
        <f>IF(G132="გამ. შესყიდვა",SUMIFS('[1]გამარტივებული შესყიდვა'!L:L,'[1]გამარტივებული შესყიდვა'!K:K,B132,'[1]გამარტივებული შესყიდვა'!N:N,"სახელმწიფო ბიუჯეტი",'[1]გამარტივებული შესყიდვა'!O:O,"3503030702"),0)</f>
        <v>0</v>
      </c>
      <c r="M132" s="25">
        <f>IF(G132="კონს. ტენდერი",SUMIFS('[1]კონსოლიდირებული ტენდერი'!L:L,'[1]კონსოლიდირებული ტენდერი'!E:E,B132,'[1]კონსოლიდირებული ტენდერი'!N:N,"სახელმწიფო ბიუჯეტი",'[1]კონსოლიდირებული ტენდერი'!O:O,"350106"),0)</f>
        <v>0</v>
      </c>
      <c r="N132" s="25">
        <f>IF(G132="კონს. ტენდერი",SUMIFS('[1]კონსოლიდირებული ტენდერი'!L:L,'[1]კონსოლიდირებული ტენდერი'!E:E,B132,'[1]კონსოლიდირებული ტენდერი'!N:N,"სახელმწიფო ბიუჯეტი",'[1]კონსოლიდირებული ტენდერი'!O:O,"3503030702"),0)</f>
        <v>0</v>
      </c>
      <c r="O132" s="25">
        <f>IF(G132="ელ. ტენდერი",SUMIFS('[1]ელ. ტენდერი'!N:N,'[1]ელ. ტენდერი'!G:G,B132,'[1]ელ. ტენდერი'!Q:Q,"სახელმწიფო ბიუჯეტი",'[1]ელ. ტენდერი'!R:R,"350106"),0)</f>
        <v>0</v>
      </c>
      <c r="P132" s="25">
        <f>IF(G132="ელ. ტენდერი",SUMIFS('[1]ელ. ტენდერი'!N:N,'[1]ელ. ტენდერი'!G:G,'30.05.2018'!B132,'[1]ელ. ტენდერი'!Q:Q,"სახელმწიფო ბიუჯეტი",'[1]ელ. ტენდერი'!R:R,"3503030702"),0)</f>
        <v>0</v>
      </c>
      <c r="Q132" s="26">
        <f t="shared" si="2"/>
        <v>4630</v>
      </c>
    </row>
    <row r="133" spans="1:17" x14ac:dyDescent="0.25">
      <c r="A133" s="17">
        <v>128</v>
      </c>
      <c r="B133" s="81" t="s">
        <v>222</v>
      </c>
      <c r="C133" s="18" t="s">
        <v>25</v>
      </c>
      <c r="D133" s="31">
        <v>350106</v>
      </c>
      <c r="E133" s="20" t="s">
        <v>223</v>
      </c>
      <c r="F133" s="21">
        <f>4990+5</f>
        <v>4995</v>
      </c>
      <c r="G133" s="22" t="s">
        <v>27</v>
      </c>
      <c r="H133" s="23">
        <v>43101</v>
      </c>
      <c r="I133" s="23">
        <v>43465</v>
      </c>
      <c r="J133" s="28"/>
      <c r="K133" s="25">
        <f>IF(G133="გამ. შესყიდვა",SUMIFS('[1]გამარტივებული შესყიდვა'!L:L,'[1]გამარტივებული შესყიდვა'!K:K,B133,'[1]გამარტივებული შესყიდვა'!N:N,"სახელმწიფო ბიუჯეტი",'[1]გამარტივებული შესყიდვა'!O:O,"350106"),0)</f>
        <v>4990.6000000000004</v>
      </c>
      <c r="L133" s="25">
        <f>IF(G133="გამ. შესყიდვა",SUMIFS('[1]გამარტივებული შესყიდვა'!L:L,'[1]გამარტივებული შესყიდვა'!K:K,B133,'[1]გამარტივებული შესყიდვა'!N:N,"სახელმწიფო ბიუჯეტი",'[1]გამარტივებული შესყიდვა'!O:O,"3503030702"),0)</f>
        <v>0</v>
      </c>
      <c r="M133" s="25">
        <f>IF(G133="კონს. ტენდერი",SUMIFS('[1]კონსოლიდირებული ტენდერი'!L:L,'[1]კონსოლიდირებული ტენდერი'!E:E,B133,'[1]კონსოლიდირებული ტენდერი'!N:N,"სახელმწიფო ბიუჯეტი",'[1]კონსოლიდირებული ტენდერი'!O:O,"350106"),0)</f>
        <v>0</v>
      </c>
      <c r="N133" s="25">
        <f>IF(G133="კონს. ტენდერი",SUMIFS('[1]კონსოლიდირებული ტენდერი'!L:L,'[1]კონსოლიდირებული ტენდერი'!E:E,B133,'[1]კონსოლიდირებული ტენდერი'!N:N,"სახელმწიფო ბიუჯეტი",'[1]კონსოლიდირებული ტენდერი'!O:O,"3503030702"),0)</f>
        <v>0</v>
      </c>
      <c r="O133" s="25">
        <f>IF(G133="ელ. ტენდერი",SUMIFS('[1]ელ. ტენდერი'!N:N,'[1]ელ. ტენდერი'!G:G,B133,'[1]ელ. ტენდერი'!Q:Q,"სახელმწიფო ბიუჯეტი",'[1]ელ. ტენდერი'!R:R,"350106"),0)</f>
        <v>0</v>
      </c>
      <c r="P133" s="25">
        <f>IF(G133="ელ. ტენდერი",SUMIFS('[1]ელ. ტენდერი'!N:N,'[1]ელ. ტენდერი'!G:G,'30.05.2018'!B133,'[1]ელ. ტენდერი'!Q:Q,"სახელმწიფო ბიუჯეტი",'[1]ელ. ტენდერი'!R:R,"3503030702"),0)</f>
        <v>0</v>
      </c>
      <c r="Q133" s="26">
        <f t="shared" si="2"/>
        <v>4.3999999999996362</v>
      </c>
    </row>
    <row r="134" spans="1:17" x14ac:dyDescent="0.25">
      <c r="A134" s="17">
        <v>129</v>
      </c>
      <c r="B134" s="81" t="s">
        <v>224</v>
      </c>
      <c r="C134" s="18" t="s">
        <v>25</v>
      </c>
      <c r="D134" s="31">
        <v>350106</v>
      </c>
      <c r="E134" s="20" t="s">
        <v>225</v>
      </c>
      <c r="F134" s="21">
        <f>4990-500</f>
        <v>4490</v>
      </c>
      <c r="G134" s="22" t="s">
        <v>27</v>
      </c>
      <c r="H134" s="23">
        <v>43101</v>
      </c>
      <c r="I134" s="23">
        <v>43465</v>
      </c>
      <c r="J134" s="55"/>
      <c r="K134" s="25">
        <f>IF(G134="გამ. შესყიდვა",SUMIFS('[1]გამარტივებული შესყიდვა'!L:L,'[1]გამარტივებული შესყიდვა'!K:K,B134,'[1]გამარტივებული შესყიდვა'!N:N,"სახელმწიფო ბიუჯეტი",'[1]გამარტივებული შესყიდვა'!O:O,"350106"),0)</f>
        <v>600</v>
      </c>
      <c r="L134" s="25">
        <f>IF(G134="გამ. შესყიდვა",SUMIFS('[1]გამარტივებული შესყიდვა'!L:L,'[1]გამარტივებული შესყიდვა'!K:K,B134,'[1]გამარტივებული შესყიდვა'!N:N,"სახელმწიფო ბიუჯეტი",'[1]გამარტივებული შესყიდვა'!O:O,"3503030702"),0)</f>
        <v>0</v>
      </c>
      <c r="M134" s="25">
        <f>IF(G134="კონს. ტენდერი",SUMIFS('[1]კონსოლიდირებული ტენდერი'!L:L,'[1]კონსოლიდირებული ტენდერი'!E:E,B134,'[1]კონსოლიდირებული ტენდერი'!N:N,"სახელმწიფო ბიუჯეტი",'[1]კონსოლიდირებული ტენდერი'!O:O,"350106"),0)</f>
        <v>0</v>
      </c>
      <c r="N134" s="25">
        <f>IF(G134="კონს. ტენდერი",SUMIFS('[1]კონსოლიდირებული ტენდერი'!L:L,'[1]კონსოლიდირებული ტენდერი'!E:E,B134,'[1]კონსოლიდირებული ტენდერი'!N:N,"სახელმწიფო ბიუჯეტი",'[1]კონსოლიდირებული ტენდერი'!O:O,"3503030702"),0)</f>
        <v>0</v>
      </c>
      <c r="O134" s="25">
        <f>IF(G134="ელ. ტენდერი",SUMIFS('[1]ელ. ტენდერი'!N:N,'[1]ელ. ტენდერი'!G:G,B134,'[1]ელ. ტენდერი'!Q:Q,"სახელმწიფო ბიუჯეტი",'[1]ელ. ტენდერი'!R:R,"350106"),0)</f>
        <v>0</v>
      </c>
      <c r="P134" s="25">
        <f>IF(G134="ელ. ტენდერი",SUMIFS('[1]ელ. ტენდერი'!N:N,'[1]ელ. ტენდერი'!G:G,'30.05.2018'!B134,'[1]ელ. ტენდერი'!Q:Q,"სახელმწიფო ბიუჯეტი",'[1]ელ. ტენდერი'!R:R,"3503030702"),0)</f>
        <v>0</v>
      </c>
      <c r="Q134" s="26">
        <f t="shared" si="2"/>
        <v>3890</v>
      </c>
    </row>
    <row r="135" spans="1:17" x14ac:dyDescent="0.25">
      <c r="A135" s="56"/>
      <c r="B135" s="57"/>
      <c r="C135" s="57"/>
      <c r="D135" s="56"/>
      <c r="E135" s="58"/>
      <c r="F135" s="59"/>
      <c r="G135" s="60"/>
      <c r="H135" s="61"/>
      <c r="I135" s="61"/>
      <c r="J135" s="62"/>
    </row>
    <row r="136" spans="1:17" x14ac:dyDescent="0.25">
      <c r="A136" s="56"/>
      <c r="B136" s="57"/>
      <c r="C136" s="57"/>
      <c r="D136" s="56"/>
      <c r="E136" s="58"/>
      <c r="F136" s="59"/>
      <c r="G136" s="64"/>
      <c r="H136" s="65"/>
      <c r="I136" s="65"/>
      <c r="J136" s="62"/>
    </row>
    <row r="137" spans="1:17" ht="17.25" x14ac:dyDescent="0.25">
      <c r="A137" s="56"/>
      <c r="B137" s="57"/>
      <c r="C137" s="57"/>
      <c r="D137" s="56"/>
      <c r="E137" s="58"/>
      <c r="F137" s="66"/>
      <c r="G137" s="64"/>
      <c r="H137" s="65"/>
      <c r="I137" s="65"/>
      <c r="J137" s="62"/>
    </row>
    <row r="138" spans="1:17" x14ac:dyDescent="0.25">
      <c r="A138" s="104" t="s">
        <v>0</v>
      </c>
      <c r="B138" s="104"/>
      <c r="C138" s="104"/>
      <c r="D138" s="104"/>
      <c r="E138" s="104"/>
      <c r="F138" s="104"/>
      <c r="G138" s="104"/>
      <c r="H138" s="104"/>
      <c r="I138" s="104"/>
      <c r="J138" s="104"/>
    </row>
    <row r="139" spans="1:17" ht="15" customHeight="1" x14ac:dyDescent="0.25">
      <c r="A139" s="102" t="s">
        <v>226</v>
      </c>
      <c r="B139" s="102"/>
      <c r="C139" s="102"/>
      <c r="D139" s="102"/>
      <c r="E139" s="102"/>
      <c r="F139" s="102"/>
      <c r="G139" s="102"/>
      <c r="H139" s="103" t="s">
        <v>2</v>
      </c>
      <c r="I139" s="103"/>
      <c r="J139" s="103"/>
    </row>
    <row r="140" spans="1:17" ht="15" customHeight="1" x14ac:dyDescent="0.25">
      <c r="A140" s="103" t="s">
        <v>3</v>
      </c>
      <c r="B140" s="102"/>
      <c r="C140" s="102"/>
      <c r="D140" s="102"/>
      <c r="E140" s="102"/>
      <c r="F140" s="102"/>
      <c r="G140" s="102"/>
      <c r="H140" s="103" t="s">
        <v>227</v>
      </c>
      <c r="I140" s="103"/>
      <c r="J140" s="103"/>
    </row>
    <row r="141" spans="1:17" x14ac:dyDescent="0.25">
      <c r="A141" s="8" t="s">
        <v>5</v>
      </c>
      <c r="B141" s="8"/>
      <c r="C141" s="8"/>
      <c r="D141" s="8"/>
      <c r="E141" s="67"/>
      <c r="F141" s="8"/>
      <c r="G141" s="68"/>
      <c r="H141" s="69"/>
      <c r="I141" s="7">
        <f>SUM(F143:F204)</f>
        <v>124790</v>
      </c>
      <c r="J141" s="70" t="s">
        <v>6</v>
      </c>
      <c r="K141" s="6">
        <f t="shared" ref="K141:P141" si="3">SUBTOTAL(9,K143:K204)</f>
        <v>13949.400000000001</v>
      </c>
      <c r="L141" s="6">
        <f t="shared" si="3"/>
        <v>11466.2</v>
      </c>
      <c r="M141" s="6">
        <f t="shared" si="3"/>
        <v>0</v>
      </c>
      <c r="N141" s="6">
        <f t="shared" si="3"/>
        <v>0</v>
      </c>
      <c r="O141" s="6">
        <f t="shared" si="3"/>
        <v>0</v>
      </c>
      <c r="P141" s="6">
        <f t="shared" si="3"/>
        <v>0</v>
      </c>
      <c r="Q141" s="6">
        <f>I141-SUM(Q143:Q204)</f>
        <v>25415.599999999991</v>
      </c>
    </row>
    <row r="142" spans="1:17" ht="51" x14ac:dyDescent="0.25">
      <c r="A142" s="11" t="s">
        <v>14</v>
      </c>
      <c r="B142" s="106" t="s">
        <v>15</v>
      </c>
      <c r="C142" s="12" t="s">
        <v>16</v>
      </c>
      <c r="D142" s="13" t="s">
        <v>17</v>
      </c>
      <c r="E142" s="14" t="s">
        <v>18</v>
      </c>
      <c r="F142" s="15" t="s">
        <v>19</v>
      </c>
      <c r="G142" s="14" t="s">
        <v>20</v>
      </c>
      <c r="H142" s="14" t="s">
        <v>21</v>
      </c>
      <c r="I142" s="14" t="s">
        <v>22</v>
      </c>
      <c r="J142" s="71" t="s">
        <v>23</v>
      </c>
      <c r="K142" s="9" t="s">
        <v>7</v>
      </c>
      <c r="L142" s="9" t="s">
        <v>8</v>
      </c>
      <c r="M142" s="9" t="s">
        <v>9</v>
      </c>
      <c r="N142" s="9" t="s">
        <v>10</v>
      </c>
      <c r="O142" s="9" t="s">
        <v>11</v>
      </c>
      <c r="P142" s="9" t="s">
        <v>12</v>
      </c>
      <c r="Q142" s="10" t="s">
        <v>13</v>
      </c>
    </row>
    <row r="143" spans="1:17" x14ac:dyDescent="0.25">
      <c r="A143" s="11">
        <v>1</v>
      </c>
      <c r="B143" s="72" t="s">
        <v>32</v>
      </c>
      <c r="C143" s="73" t="s">
        <v>25</v>
      </c>
      <c r="D143" s="31">
        <v>350106</v>
      </c>
      <c r="E143" s="74" t="s">
        <v>33</v>
      </c>
      <c r="F143" s="75">
        <v>500</v>
      </c>
      <c r="G143" s="76" t="s">
        <v>27</v>
      </c>
      <c r="H143" s="77">
        <v>43101</v>
      </c>
      <c r="I143" s="77">
        <v>43465</v>
      </c>
      <c r="J143" s="78"/>
      <c r="K143" s="25">
        <f>IF(G143="გამ. შესყიდვა",SUMIFS('[1]გამარტივებული შესყიდვა'!L:L,'[1]გამარტივებული შესყიდვა'!K:K,B143,'[1]გამარტივებული შესყიდვა'!N:N,"საკუთარი შემოსავლები",'[1]გამარტივებული შესყიდვა'!O:O,"350106"),0)</f>
        <v>0</v>
      </c>
      <c r="L143" s="25">
        <f>IF(G143="გამ. შესყიდვა",SUMIFS('[1]გამარტივებული შესყიდვა'!L:L,'[1]გამარტივებული შესყიდვა'!K:K,B143,'[1]გამარტივებული შესყიდვა'!N:N,"საკუთარი შემოსავლები",'[1]გამარტივებული შესყიდვა'!O:O,"3503030702"),0)</f>
        <v>0</v>
      </c>
      <c r="M143" s="25">
        <f>IF(G143="კონს. ტენდერი",SUMIFS('[1]კონსოლიდირებული ტენდერი'!L:L,'[1]კონსოლიდირებული ტენდერი'!E:E,B143,'[1]კონსოლიდირებული ტენდერი'!N:N,"საკუთარი შემოსავლები",'[1]კონსოლიდირებული ტენდერი'!O:O,"350106"),0)</f>
        <v>0</v>
      </c>
      <c r="N143" s="25">
        <f>IF(G143="კონს. ტენდერი",SUMIFS('[1]კონსოლიდირებული ტენდერი'!L:L,'[1]კონსოლიდირებული ტენდერი'!E:E,B143,'[1]კონსოლიდირებული ტენდერი'!N:N,"საკუთარი შემოსავლები",'[1]კონსოლიდირებული ტენდერი'!O:O,"3503030702"),0)</f>
        <v>0</v>
      </c>
      <c r="O143" s="25">
        <f>IF(G143="ელ. ტენდერი",SUMIFS('[1]ელ. ტენდერი'!N:N,'[1]ელ. ტენდერი'!G:G,'30.05.2018'!B143,'[1]ელ. ტენდერი'!Q:Q,"საკუთარი შემოსავლები",'[1]ელ. ტენდერი'!R:R,"350106"),0)</f>
        <v>0</v>
      </c>
      <c r="P143" s="25">
        <f>IF(G143="ელ. ტენდერი",SUMIFS('[1]ელ. ტენდერი'!N:N,'[1]ელ. ტენდერი'!G:G,'30.05.2018'!B143,'[1]ელ. ტენდერი'!Q:Q,"საკუთარი შემოსავლები",'[1]ელ. ტენდერი'!R:R,"3503030702"),0)</f>
        <v>0</v>
      </c>
      <c r="Q143" s="26">
        <f>F143-SUM(K143:P143)</f>
        <v>500</v>
      </c>
    </row>
    <row r="144" spans="1:17" x14ac:dyDescent="0.25">
      <c r="A144" s="17">
        <v>2</v>
      </c>
      <c r="B144" s="72" t="s">
        <v>37</v>
      </c>
      <c r="C144" s="73" t="s">
        <v>25</v>
      </c>
      <c r="D144" s="31">
        <v>350106</v>
      </c>
      <c r="E144" s="74" t="s">
        <v>38</v>
      </c>
      <c r="F144" s="75">
        <v>1000</v>
      </c>
      <c r="G144" s="76" t="s">
        <v>27</v>
      </c>
      <c r="H144" s="77">
        <v>43101</v>
      </c>
      <c r="I144" s="77">
        <v>43465</v>
      </c>
      <c r="J144" s="79"/>
      <c r="K144" s="25">
        <f>IF(G144="გამ. შესყიდვა",SUMIFS('[1]გამარტივებული შესყიდვა'!L:L,'[1]გამარტივებული შესყიდვა'!K:K,B144,'[1]გამარტივებული შესყიდვა'!N:N,"საკუთარი შემოსავლები",'[1]გამარტივებული შესყიდვა'!O:O,"350106"),0)</f>
        <v>0</v>
      </c>
      <c r="L144" s="25">
        <f>IF(G144="გამ. შესყიდვა",SUMIFS('[1]გამარტივებული შესყიდვა'!L:L,'[1]გამარტივებული შესყიდვა'!K:K,B144,'[1]გამარტივებული შესყიდვა'!N:N,"საკუთარი შემოსავლები",'[1]გამარტივებული შესყიდვა'!O:O,"3503030702"),0)</f>
        <v>0</v>
      </c>
      <c r="M144" s="25">
        <f>IF(G144="კონს. ტენდერი",SUMIFS('[1]კონსოლიდირებული ტენდერი'!L:L,'[1]კონსოლიდირებული ტენდერი'!E:E,B144,'[1]კონსოლიდირებული ტენდერი'!N:N,"საკუთარი შემოსავლები",'[1]კონსოლიდირებული ტენდერი'!O:O,"350106"),0)</f>
        <v>0</v>
      </c>
      <c r="N144" s="25">
        <f>IF(G144="კონს. ტენდერი",SUMIFS('[1]კონსოლიდირებული ტენდერი'!L:L,'[1]კონსოლიდირებული ტენდერი'!E:E,B144,'[1]კონსოლიდირებული ტენდერი'!N:N,"საკუთარი შემოსავლები",'[1]კონსოლიდირებული ტენდერი'!O:O,"3503030702"),0)</f>
        <v>0</v>
      </c>
      <c r="O144" s="25">
        <f>IF(G144="ელ. ტენდერი",SUMIFS('[1]ელ. ტენდერი'!N:N,'[1]ელ. ტენდერი'!G:G,'30.05.2018'!B144,'[1]ელ. ტენდერი'!Q:Q,"საკუთარი შემოსავლები",'[1]ელ. ტენდერი'!R:R,"350106"),0)</f>
        <v>0</v>
      </c>
      <c r="P144" s="25">
        <f>IF(G144="ელ. ტენდერი",SUMIFS('[1]ელ. ტენდერი'!N:N,'[1]ელ. ტენდერი'!G:G,'30.05.2018'!B144,'[1]ელ. ტენდერი'!Q:Q,"საკუთარი შემოსავლები",'[1]ელ. ტენდერი'!R:R,"3503030702"),0)</f>
        <v>0</v>
      </c>
      <c r="Q144" s="26">
        <f t="shared" ref="Q144:Q205" si="4">F144-SUM(K144:P144)</f>
        <v>1000</v>
      </c>
    </row>
    <row r="145" spans="1:17" x14ac:dyDescent="0.25">
      <c r="A145" s="11">
        <v>3</v>
      </c>
      <c r="B145" s="72" t="s">
        <v>44</v>
      </c>
      <c r="C145" s="73" t="s">
        <v>25</v>
      </c>
      <c r="D145" s="31">
        <v>350106</v>
      </c>
      <c r="E145" s="20" t="s">
        <v>45</v>
      </c>
      <c r="F145" s="75">
        <f>4900-990-500</f>
        <v>3410</v>
      </c>
      <c r="G145" s="76" t="s">
        <v>27</v>
      </c>
      <c r="H145" s="77">
        <v>43101</v>
      </c>
      <c r="I145" s="77">
        <v>43465</v>
      </c>
      <c r="J145" s="78"/>
      <c r="K145" s="25">
        <f>IF(G145="გამ. შესყიდვა",SUMIFS('[1]გამარტივებული შესყიდვა'!L:L,'[1]გამარტივებული შესყიდვა'!K:K,B145,'[1]გამარტივებული შესყიდვა'!N:N,"საკუთარი შემოსავლები",'[1]გამარტივებული შესყიდვა'!O:O,"350106"),0)</f>
        <v>0</v>
      </c>
      <c r="L145" s="25">
        <f>IF(G145="გამ. შესყიდვა",SUMIFS('[1]გამარტივებული შესყიდვა'!L:L,'[1]გამარტივებული შესყიდვა'!K:K,B145,'[1]გამარტივებული შესყიდვა'!N:N,"საკუთარი შემოსავლები",'[1]გამარტივებული შესყიდვა'!O:O,"3503030702"),0)</f>
        <v>0</v>
      </c>
      <c r="M145" s="25">
        <f>IF(G145="კონს. ტენდერი",SUMIFS('[1]კონსოლიდირებული ტენდერი'!L:L,'[1]კონსოლიდირებული ტენდერი'!E:E,B145,'[1]კონსოლიდირებული ტენდერი'!N:N,"საკუთარი შემოსავლები",'[1]კონსოლიდირებული ტენდერი'!O:O,"350106"),0)</f>
        <v>0</v>
      </c>
      <c r="N145" s="25">
        <f>IF(G145="კონს. ტენდერი",SUMIFS('[1]კონსოლიდირებული ტენდერი'!L:L,'[1]კონსოლიდირებული ტენდერი'!E:E,B145,'[1]კონსოლიდირებული ტენდერი'!N:N,"საკუთარი შემოსავლები",'[1]კონსოლიდირებული ტენდერი'!O:O,"3503030702"),0)</f>
        <v>0</v>
      </c>
      <c r="O145" s="25">
        <f>IF(G145="ელ. ტენდერი",SUMIFS('[1]ელ. ტენდერი'!N:N,'[1]ელ. ტენდერი'!G:G,'30.05.2018'!B145,'[1]ელ. ტენდერი'!Q:Q,"საკუთარი შემოსავლები",'[1]ელ. ტენდერი'!R:R,"350106"),0)</f>
        <v>0</v>
      </c>
      <c r="P145" s="25">
        <f>IF(G145="ელ. ტენდერი",SUMIFS('[1]ელ. ტენდერი'!N:N,'[1]ელ. ტენდერი'!G:G,'30.05.2018'!B145,'[1]ელ. ტენდერი'!Q:Q,"საკუთარი შემოსავლები",'[1]ელ. ტენდერი'!R:R,"3503030702"),0)</f>
        <v>0</v>
      </c>
      <c r="Q145" s="26">
        <f t="shared" si="4"/>
        <v>3410</v>
      </c>
    </row>
    <row r="146" spans="1:17" x14ac:dyDescent="0.25">
      <c r="A146" s="17">
        <v>4</v>
      </c>
      <c r="B146" s="72" t="s">
        <v>48</v>
      </c>
      <c r="C146" s="73" t="s">
        <v>25</v>
      </c>
      <c r="D146" s="31">
        <v>350106</v>
      </c>
      <c r="E146" s="20" t="s">
        <v>49</v>
      </c>
      <c r="F146" s="80">
        <f>4990-2000</f>
        <v>2990</v>
      </c>
      <c r="G146" s="76" t="s">
        <v>27</v>
      </c>
      <c r="H146" s="77">
        <v>43101</v>
      </c>
      <c r="I146" s="77">
        <v>43465</v>
      </c>
      <c r="J146" s="79"/>
      <c r="K146" s="25">
        <f>IF(G146="გამ. შესყიდვა",SUMIFS('[1]გამარტივებული შესყიდვა'!L:L,'[1]გამარტივებული შესყიდვა'!K:K,B146,'[1]გამარტივებული შესყიდვა'!N:N,"საკუთარი შემოსავლები",'[1]გამარტივებული შესყიდვა'!O:O,"350106"),0)</f>
        <v>0</v>
      </c>
      <c r="L146" s="25">
        <f>IF(G146="გამ. შესყიდვა",SUMIFS('[1]გამარტივებული შესყიდვა'!L:L,'[1]გამარტივებული შესყიდვა'!K:K,B146,'[1]გამარტივებული შესყიდვა'!N:N,"საკუთარი შემოსავლები",'[1]გამარტივებული შესყიდვა'!O:O,"3503030702"),0)</f>
        <v>0</v>
      </c>
      <c r="M146" s="25">
        <f>IF(G146="კონს. ტენდერი",SUMIFS('[1]კონსოლიდირებული ტენდერი'!L:L,'[1]კონსოლიდირებული ტენდერი'!E:E,B146,'[1]კონსოლიდირებული ტენდერი'!N:N,"საკუთარი შემოსავლები",'[1]კონსოლიდირებული ტენდერი'!O:O,"350106"),0)</f>
        <v>0</v>
      </c>
      <c r="N146" s="25">
        <f>IF(G146="კონს. ტენდერი",SUMIFS('[1]კონსოლიდირებული ტენდერი'!L:L,'[1]კონსოლიდირებული ტენდერი'!E:E,B146,'[1]კონსოლიდირებული ტენდერი'!N:N,"საკუთარი შემოსავლები",'[1]კონსოლიდირებული ტენდერი'!O:O,"3503030702"),0)</f>
        <v>0</v>
      </c>
      <c r="O146" s="25">
        <f>IF(G146="ელ. ტენდერი",SUMIFS('[1]ელ. ტენდერი'!N:N,'[1]ელ. ტენდერი'!G:G,'30.05.2018'!B146,'[1]ელ. ტენდერი'!Q:Q,"საკუთარი შემოსავლები",'[1]ელ. ტენდერი'!R:R,"350106"),0)</f>
        <v>0</v>
      </c>
      <c r="P146" s="25">
        <f>IF(G146="ელ. ტენდერი",SUMIFS('[1]ელ. ტენდერი'!N:N,'[1]ელ. ტენდერი'!G:G,'30.05.2018'!B146,'[1]ელ. ტენდერი'!Q:Q,"საკუთარი შემოსავლები",'[1]ელ. ტენდერი'!R:R,"3503030702"),0)</f>
        <v>0</v>
      </c>
      <c r="Q146" s="26">
        <f t="shared" si="4"/>
        <v>2990</v>
      </c>
    </row>
    <row r="147" spans="1:17" x14ac:dyDescent="0.25">
      <c r="A147" s="11">
        <v>5</v>
      </c>
      <c r="B147" s="81" t="s">
        <v>52</v>
      </c>
      <c r="C147" s="18" t="s">
        <v>25</v>
      </c>
      <c r="D147" s="31">
        <v>350106</v>
      </c>
      <c r="E147" s="20" t="s">
        <v>53</v>
      </c>
      <c r="F147" s="80">
        <f>2000+2990</f>
        <v>4990</v>
      </c>
      <c r="G147" s="76" t="s">
        <v>27</v>
      </c>
      <c r="H147" s="77">
        <v>43123</v>
      </c>
      <c r="I147" s="77">
        <v>43465</v>
      </c>
      <c r="J147" s="82"/>
      <c r="K147" s="25">
        <f>IF(G147="გამ. შესყიდვა",SUMIFS('[1]გამარტივებული შესყიდვა'!L:L,'[1]გამარტივებული შესყიდვა'!K:K,B147,'[1]გამარტივებული შესყიდვა'!N:N,"საკუთარი შემოსავლები",'[1]გამარტივებული შესყიდვა'!O:O,"350106"),0)</f>
        <v>1275.01</v>
      </c>
      <c r="L147" s="25">
        <f>IF(G147="გამ. შესყიდვა",SUMIFS('[1]გამარტივებული შესყიდვა'!L:L,'[1]გამარტივებული შესყიდვა'!K:K,B147,'[1]გამარტივებული შესყიდვა'!N:N,"საკუთარი შემოსავლები",'[1]გამარტივებული შესყიდვა'!O:O,"3503030702"),0)</f>
        <v>816.5</v>
      </c>
      <c r="M147" s="25">
        <f>IF(G147="კონს. ტენდერი",SUMIFS('[1]კონსოლიდირებული ტენდერი'!L:L,'[1]კონსოლიდირებული ტენდერი'!E:E,B147,'[1]კონსოლიდირებული ტენდერი'!N:N,"საკუთარი შემოსავლები",'[1]კონსოლიდირებული ტენდერი'!O:O,"350106"),0)</f>
        <v>0</v>
      </c>
      <c r="N147" s="25">
        <f>IF(G147="კონს. ტენდერი",SUMIFS('[1]კონსოლიდირებული ტენდერი'!L:L,'[1]კონსოლიდირებული ტენდერი'!E:E,B147,'[1]კონსოლიდირებული ტენდერი'!N:N,"საკუთარი შემოსავლები",'[1]კონსოლიდირებული ტენდერი'!O:O,"3503030702"),0)</f>
        <v>0</v>
      </c>
      <c r="O147" s="25">
        <f>IF(G147="ელ. ტენდერი",SUMIFS('[1]ელ. ტენდერი'!N:N,'[1]ელ. ტენდერი'!G:G,'30.05.2018'!B147,'[1]ელ. ტენდერი'!Q:Q,"საკუთარი შემოსავლები",'[1]ელ. ტენდერი'!R:R,"350106"),0)</f>
        <v>0</v>
      </c>
      <c r="P147" s="25">
        <f>IF(G147="ელ. ტენდერი",SUMIFS('[1]ელ. ტენდერი'!N:N,'[1]ელ. ტენდერი'!G:G,'30.05.2018'!B147,'[1]ელ. ტენდერი'!Q:Q,"საკუთარი შემოსავლები",'[1]ელ. ტენდერი'!R:R,"3503030702"),0)</f>
        <v>0</v>
      </c>
      <c r="Q147" s="26">
        <f t="shared" si="4"/>
        <v>2898.49</v>
      </c>
    </row>
    <row r="148" spans="1:17" x14ac:dyDescent="0.25">
      <c r="A148" s="17">
        <v>6</v>
      </c>
      <c r="B148" s="83" t="s">
        <v>56</v>
      </c>
      <c r="C148" s="73" t="s">
        <v>25</v>
      </c>
      <c r="D148" s="31">
        <v>350106</v>
      </c>
      <c r="E148" s="84" t="s">
        <v>57</v>
      </c>
      <c r="F148" s="80">
        <f>3500-2000</f>
        <v>1500</v>
      </c>
      <c r="G148" s="76" t="s">
        <v>27</v>
      </c>
      <c r="H148" s="77">
        <v>43101</v>
      </c>
      <c r="I148" s="77">
        <v>43465</v>
      </c>
      <c r="J148" s="79"/>
      <c r="K148" s="25">
        <f>IF(G148="გამ. შესყიდვა",SUMIFS('[1]გამარტივებული შესყიდვა'!L:L,'[1]გამარტივებული შესყიდვა'!K:K,B148,'[1]გამარტივებული შესყიდვა'!N:N,"საკუთარი შემოსავლები",'[1]გამარტივებული შესყიდვა'!O:O,"350106"),0)</f>
        <v>0</v>
      </c>
      <c r="L148" s="25">
        <f>IF(G148="გამ. შესყიდვა",SUMIFS('[1]გამარტივებული შესყიდვა'!L:L,'[1]გამარტივებული შესყიდვა'!K:K,B148,'[1]გამარტივებული შესყიდვა'!N:N,"საკუთარი შემოსავლები",'[1]გამარტივებული შესყიდვა'!O:O,"3503030702"),0)</f>
        <v>0</v>
      </c>
      <c r="M148" s="25">
        <f>IF(G148="კონს. ტენდერი",SUMIFS('[1]კონსოლიდირებული ტენდერი'!L:L,'[1]კონსოლიდირებული ტენდერი'!E:E,B148,'[1]კონსოლიდირებული ტენდერი'!N:N,"საკუთარი შემოსავლები",'[1]კონსოლიდირებული ტენდერი'!O:O,"350106"),0)</f>
        <v>0</v>
      </c>
      <c r="N148" s="25">
        <f>IF(G148="კონს. ტენდერი",SUMIFS('[1]კონსოლიდირებული ტენდერი'!L:L,'[1]კონსოლიდირებული ტენდერი'!E:E,B148,'[1]კონსოლიდირებული ტენდერი'!N:N,"საკუთარი შემოსავლები",'[1]კონსოლიდირებული ტენდერი'!O:O,"3503030702"),0)</f>
        <v>0</v>
      </c>
      <c r="O148" s="25">
        <f>IF(G148="ელ. ტენდერი",SUMIFS('[1]ელ. ტენდერი'!N:N,'[1]ელ. ტენდერი'!G:G,'30.05.2018'!B148,'[1]ელ. ტენდერი'!Q:Q,"საკუთარი შემოსავლები",'[1]ელ. ტენდერი'!R:R,"350106"),0)</f>
        <v>0</v>
      </c>
      <c r="P148" s="25">
        <f>IF(G148="ელ. ტენდერი",SUMIFS('[1]ელ. ტენდერი'!N:N,'[1]ელ. ტენდერი'!G:G,'30.05.2018'!B148,'[1]ელ. ტენდერი'!Q:Q,"საკუთარი შემოსავლები",'[1]ელ. ტენდერი'!R:R,"3503030702"),0)</f>
        <v>0</v>
      </c>
      <c r="Q148" s="26">
        <f t="shared" si="4"/>
        <v>1500</v>
      </c>
    </row>
    <row r="149" spans="1:17" x14ac:dyDescent="0.25">
      <c r="A149" s="11">
        <v>7</v>
      </c>
      <c r="B149" s="81" t="s">
        <v>58</v>
      </c>
      <c r="C149" s="73" t="s">
        <v>25</v>
      </c>
      <c r="D149" s="31">
        <v>350106</v>
      </c>
      <c r="E149" s="20" t="s">
        <v>59</v>
      </c>
      <c r="F149" s="80">
        <v>2900</v>
      </c>
      <c r="G149" s="76" t="s">
        <v>27</v>
      </c>
      <c r="H149" s="77">
        <v>43101</v>
      </c>
      <c r="I149" s="77">
        <v>43465</v>
      </c>
      <c r="J149" s="79"/>
      <c r="K149" s="25">
        <f>IF(G149="გამ. შესყიდვა",SUMIFS('[1]გამარტივებული შესყიდვა'!L:L,'[1]გამარტივებული შესყიდვა'!K:K,B149,'[1]გამარტივებული შესყიდვა'!N:N,"საკუთარი შემოსავლები",'[1]გამარტივებული შესყიდვა'!O:O,"350106"),0)</f>
        <v>0</v>
      </c>
      <c r="L149" s="25">
        <f>IF(G149="გამ. შესყიდვა",SUMIFS('[1]გამარტივებული შესყიდვა'!L:L,'[1]გამარტივებული შესყიდვა'!K:K,B149,'[1]გამარტივებული შესყიდვა'!N:N,"საკუთარი შემოსავლები",'[1]გამარტივებული შესყიდვა'!O:O,"3503030702"),0)</f>
        <v>1880</v>
      </c>
      <c r="M149" s="25">
        <f>IF(G149="კონს. ტენდერი",SUMIFS('[1]კონსოლიდირებული ტენდერი'!L:L,'[1]კონსოლიდირებული ტენდერი'!E:E,B149,'[1]კონსოლიდირებული ტენდერი'!N:N,"საკუთარი შემოსავლები",'[1]კონსოლიდირებული ტენდერი'!O:O,"350106"),0)</f>
        <v>0</v>
      </c>
      <c r="N149" s="25">
        <f>IF(G149="კონს. ტენდერი",SUMIFS('[1]კონსოლიდირებული ტენდერი'!L:L,'[1]კონსოლიდირებული ტენდერი'!E:E,B149,'[1]კონსოლიდირებული ტენდერი'!N:N,"საკუთარი შემოსავლები",'[1]კონსოლიდირებული ტენდერი'!O:O,"3503030702"),0)</f>
        <v>0</v>
      </c>
      <c r="O149" s="25">
        <f>IF(G149="ელ. ტენდერი",SUMIFS('[1]ელ. ტენდერი'!N:N,'[1]ელ. ტენდერი'!G:G,'30.05.2018'!B149,'[1]ელ. ტენდერი'!Q:Q,"საკუთარი შემოსავლები",'[1]ელ. ტენდერი'!R:R,"350106"),0)</f>
        <v>0</v>
      </c>
      <c r="P149" s="25">
        <f>IF(G149="ელ. ტენდერი",SUMIFS('[1]ელ. ტენდერი'!N:N,'[1]ელ. ტენდერი'!G:G,'30.05.2018'!B149,'[1]ელ. ტენდერი'!Q:Q,"საკუთარი შემოსავლები",'[1]ელ. ტენდერი'!R:R,"3503030702"),0)</f>
        <v>0</v>
      </c>
      <c r="Q149" s="26">
        <f t="shared" si="4"/>
        <v>1020</v>
      </c>
    </row>
    <row r="150" spans="1:17" x14ac:dyDescent="0.25">
      <c r="A150" s="17">
        <v>8</v>
      </c>
      <c r="B150" s="81" t="s">
        <v>228</v>
      </c>
      <c r="C150" s="73" t="s">
        <v>25</v>
      </c>
      <c r="D150" s="19">
        <v>3503030702</v>
      </c>
      <c r="E150" s="20" t="s">
        <v>229</v>
      </c>
      <c r="F150" s="80">
        <v>1500</v>
      </c>
      <c r="G150" s="76" t="s">
        <v>27</v>
      </c>
      <c r="H150" s="77">
        <v>43210</v>
      </c>
      <c r="I150" s="77">
        <v>43465</v>
      </c>
      <c r="J150" s="79"/>
      <c r="K150" s="25">
        <f>IF(G150="გამ. შესყიდვა",SUMIFS('[1]გამარტივებული შესყიდვა'!L:L,'[1]გამარტივებული შესყიდვა'!K:K,B150,'[1]გამარტივებული შესყიდვა'!N:N,"საკუთარი შემოსავლები",'[1]გამარტივებული შესყიდვა'!O:O,"350106"),0)</f>
        <v>0</v>
      </c>
      <c r="L150" s="25">
        <f>IF(G150="გამ. შესყიდვა",SUMIFS('[1]გამარტივებული შესყიდვა'!L:L,'[1]გამარტივებული შესყიდვა'!K:K,B150,'[1]გამარტივებული შესყიდვა'!N:N,"საკუთარი შემოსავლები",'[1]გამარტივებული შესყიდვა'!O:O,"3503030702"),0)</f>
        <v>383.6</v>
      </c>
      <c r="M150" s="25">
        <f>IF(G150="კონს. ტენდერი",SUMIFS('[1]კონსოლიდირებული ტენდერი'!L:L,'[1]კონსოლიდირებული ტენდერი'!E:E,B150,'[1]კონსოლიდირებული ტენდერი'!N:N,"საკუთარი შემოსავლები",'[1]კონსოლიდირებული ტენდერი'!O:O,"350106"),0)</f>
        <v>0</v>
      </c>
      <c r="N150" s="25">
        <f>IF(G150="კონს. ტენდერი",SUMIFS('[1]კონსოლიდირებული ტენდერი'!L:L,'[1]კონსოლიდირებული ტენდერი'!E:E,B150,'[1]კონსოლიდირებული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0" s="25">
        <f>IF(G150="ელ. ტენდერი",SUMIFS('[1]ელ. ტენდერი'!N:N,'[1]ელ. ტენდერი'!G:G,'30.05.2018'!B150,'[1]ელ. ტენდერი'!Q:Q,"საკუთარი შემოსავლები",'[1]ელ. ტენდერი'!R:R,"350106"),0)</f>
        <v>0</v>
      </c>
      <c r="P150" s="25">
        <f>IF(G150="ელ. ტენდერი",SUMIFS('[1]ელ. ტენდერი'!N:N,'[1]ელ. ტენდერი'!G:G,'30.05.2018'!B150,'[1]ელ. ტენდერი'!Q:Q,"საკუთარი შემოსავლები",'[1]ელ. ტენდერი'!R:R,"3503030702"),0)</f>
        <v>0</v>
      </c>
      <c r="Q150" s="26">
        <f t="shared" si="4"/>
        <v>1116.4000000000001</v>
      </c>
    </row>
    <row r="151" spans="1:17" x14ac:dyDescent="0.25">
      <c r="A151" s="11">
        <v>9</v>
      </c>
      <c r="B151" s="81" t="s">
        <v>62</v>
      </c>
      <c r="C151" s="73" t="s">
        <v>25</v>
      </c>
      <c r="D151" s="31">
        <v>350106</v>
      </c>
      <c r="E151" s="20" t="s">
        <v>63</v>
      </c>
      <c r="F151" s="80">
        <v>500</v>
      </c>
      <c r="G151" s="76" t="s">
        <v>27</v>
      </c>
      <c r="H151" s="77">
        <v>43101</v>
      </c>
      <c r="I151" s="77">
        <v>43465</v>
      </c>
      <c r="J151" s="79"/>
      <c r="K151" s="25">
        <f>IF(G151="გამ. შესყიდვა",SUMIFS('[1]გამარტივებული შესყიდვა'!L:L,'[1]გამარტივებული შესყიდვა'!K:K,B151,'[1]გამარტივებული შესყიდვა'!N:N,"საკუთარი შემოსავლები",'[1]გამარტივებული შესყიდვა'!O:O,"350106"),0)</f>
        <v>0</v>
      </c>
      <c r="L151" s="25">
        <f>IF(G151="გამ. შესყიდვა",SUMIFS('[1]გამარტივებული შესყიდვა'!L:L,'[1]გამარტივებული შესყიდვა'!K:K,B151,'[1]გამარტივებული შესყიდვა'!N:N,"საკუთარი შემოსავლები",'[1]გამარტივებული შესყიდვა'!O:O,"3503030702"),0)</f>
        <v>0</v>
      </c>
      <c r="M151" s="25">
        <f>IF(G151="კონს. ტენდერი",SUMIFS('[1]კონსოლიდირებული ტენდერი'!L:L,'[1]კონსოლიდირებული ტენდერი'!E:E,B151,'[1]კონსოლიდირებული ტენდერი'!N:N,"საკუთარი შემოსავლები",'[1]კონსოლიდირებული ტენდერი'!O:O,"350106"),0)</f>
        <v>0</v>
      </c>
      <c r="N151" s="25">
        <f>IF(G151="კონს. ტენდერი",SUMIFS('[1]კონსოლიდირებული ტენდერი'!L:L,'[1]კონსოლიდირებული ტენდერი'!E:E,B151,'[1]კონსოლიდირებული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1" s="25">
        <f>IF(G151="ელ. ტენდერი",SUMIFS('[1]ელ. ტენდერი'!N:N,'[1]ელ. ტენდერი'!G:G,'30.05.2018'!B151,'[1]ელ. ტენდერი'!Q:Q,"საკუთარი შემოსავლები",'[1]ელ. ტენდერი'!R:R,"350106"),0)</f>
        <v>0</v>
      </c>
      <c r="P151" s="25">
        <f>IF(G151="ელ. ტენდერი",SUMIFS('[1]ელ. ტენდერი'!N:N,'[1]ელ. ტენდერი'!G:G,'30.05.2018'!B151,'[1]ელ. ტენდერი'!Q:Q,"საკუთარი შემოსავლები",'[1]ელ. ტენდერი'!R:R,"3503030702"),0)</f>
        <v>0</v>
      </c>
      <c r="Q151" s="26">
        <f t="shared" si="4"/>
        <v>500</v>
      </c>
    </row>
    <row r="152" spans="1:17" x14ac:dyDescent="0.25">
      <c r="A152" s="17">
        <v>10</v>
      </c>
      <c r="B152" s="72" t="s">
        <v>64</v>
      </c>
      <c r="C152" s="73" t="s">
        <v>25</v>
      </c>
      <c r="D152" s="31">
        <v>350106</v>
      </c>
      <c r="E152" s="20" t="s">
        <v>65</v>
      </c>
      <c r="F152" s="80">
        <v>2990</v>
      </c>
      <c r="G152" s="76" t="s">
        <v>27</v>
      </c>
      <c r="H152" s="77">
        <v>43101</v>
      </c>
      <c r="I152" s="77">
        <v>43465</v>
      </c>
      <c r="J152" s="79"/>
      <c r="K152" s="25">
        <f>IF(G152="გამ. შესყიდვა",SUMIFS('[1]გამარტივებული შესყიდვა'!L:L,'[1]გამარტივებული შესყიდვა'!K:K,B152,'[1]გამარტივებული შესყიდვა'!N:N,"საკუთარი შემოსავლები",'[1]გამარტივებული შესყიდვა'!O:O,"350106"),0)</f>
        <v>419.72</v>
      </c>
      <c r="L152" s="25">
        <f>IF(G152="გამ. შესყიდვა",SUMIFS('[1]გამარტივებული შესყიდვა'!L:L,'[1]გამარტივებული შესყიდვა'!K:K,B152,'[1]გამარტივებული შესყიდვა'!N:N,"საკუთარი შემოსავლები",'[1]გამარტივებული შესყიდვა'!O:O,"3503030702"),0)</f>
        <v>0</v>
      </c>
      <c r="M152" s="25">
        <f>IF(G152="კონს. ტენდერი",SUMIFS('[1]კონსოლიდირებული ტენდერი'!L:L,'[1]კონსოლიდირებული ტენდერი'!E:E,B152,'[1]კონსოლიდირებული ტენდერი'!N:N,"საკუთარი შემოსავლები",'[1]კონსოლიდირებული ტენდერი'!O:O,"350106"),0)</f>
        <v>0</v>
      </c>
      <c r="N152" s="25">
        <f>IF(G152="კონს. ტენდერი",SUMIFS('[1]კონსოლიდირებული ტენდერი'!L:L,'[1]კონსოლიდირებული ტენდერი'!E:E,B152,'[1]კონსოლიდირებული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2" s="25">
        <f>IF(G152="ელ. ტენდერი",SUMIFS('[1]ელ. ტენდერი'!N:N,'[1]ელ. ტენდერი'!G:G,'30.05.2018'!B152,'[1]ელ. ტენდერი'!Q:Q,"საკუთარი შემოსავლები",'[1]ელ. ტენდერი'!R:R,"350106"),0)</f>
        <v>0</v>
      </c>
      <c r="P152" s="25">
        <f>IF(G152="ელ. ტენდერი",SUMIFS('[1]ელ. ტენდერი'!N:N,'[1]ელ. ტენდერი'!G:G,'30.05.2018'!B152,'[1]ელ. ტენდერი'!Q:Q,"საკუთარი შემოსავლები",'[1]ელ. ტენდერი'!R:R,"3503030702"),0)</f>
        <v>0</v>
      </c>
      <c r="Q152" s="26">
        <f t="shared" si="4"/>
        <v>2570.2799999999997</v>
      </c>
    </row>
    <row r="153" spans="1:17" x14ac:dyDescent="0.25">
      <c r="A153" s="11">
        <v>11</v>
      </c>
      <c r="B153" s="81" t="s">
        <v>66</v>
      </c>
      <c r="C153" s="73" t="s">
        <v>25</v>
      </c>
      <c r="D153" s="31">
        <v>350106</v>
      </c>
      <c r="E153" s="74" t="s">
        <v>68</v>
      </c>
      <c r="F153" s="21">
        <v>3900</v>
      </c>
      <c r="G153" s="76" t="s">
        <v>27</v>
      </c>
      <c r="H153" s="77">
        <v>43101</v>
      </c>
      <c r="I153" s="77">
        <v>43465</v>
      </c>
      <c r="J153" s="79"/>
      <c r="K153" s="25">
        <f>IF(G153="გამ. შესყიდვა",SUMIFS('[1]გამარტივებული შესყიდვა'!L:L,'[1]გამარტივებული შესყიდვა'!K:K,B153,'[1]გამარტივებული შესყიდვა'!N:N,"საკუთარი შემოსავლები",'[1]გამარტივებული შესყიდვა'!O:O,"350106"),0)</f>
        <v>330</v>
      </c>
      <c r="L153" s="25">
        <f>IF(G153="გამ. შესყიდვა",SUMIFS('[1]გამარტივებული შესყიდვა'!L:L,'[1]გამარტივებული შესყიდვა'!K:K,B153,'[1]გამარტივებული შესყიდვა'!N:N,"საკუთარი შემოსავლები",'[1]გამარტივებული შესყიდვა'!O:O,"3503030702"),0)</f>
        <v>0</v>
      </c>
      <c r="M153" s="25">
        <f>IF(G153="კონს. ტენდერი",SUMIFS('[1]კონსოლიდირებული ტენდერი'!L:L,'[1]კონსოლიდირებული ტენდერი'!E:E,B153,'[1]კონსოლიდირებული ტენდერი'!N:N,"საკუთარი შემოსავლები",'[1]კონსოლიდირებული ტენდერი'!O:O,"350106"),0)</f>
        <v>0</v>
      </c>
      <c r="N153" s="25">
        <f>IF(G153="კონს. ტენდერი",SUMIFS('[1]კონსოლიდირებული ტენდერი'!L:L,'[1]კონსოლიდირებული ტენდერი'!E:E,B153,'[1]კონსოლიდირებული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3" s="25">
        <f>IF(G153="ელ. ტენდერი",SUMIFS('[1]ელ. ტენდერი'!N:N,'[1]ელ. ტენდერი'!G:G,'30.05.2018'!B153,'[1]ელ. ტენდერი'!Q:Q,"საკუთარი შემოსავლები",'[1]ელ. ტენდერი'!R:R,"350106"),0)</f>
        <v>0</v>
      </c>
      <c r="P153" s="25">
        <f>IF(G153="ელ. ტენდერი",SUMIFS('[1]ელ. ტენდერი'!N:N,'[1]ელ. ტენდერი'!G:G,'30.05.2018'!B153,'[1]ელ. ტენდერი'!Q:Q,"საკუთარი შემოსავლები",'[1]ელ. ტენდერი'!R:R,"3503030702"),0)</f>
        <v>0</v>
      </c>
      <c r="Q153" s="26">
        <f t="shared" si="4"/>
        <v>3570</v>
      </c>
    </row>
    <row r="154" spans="1:17" x14ac:dyDescent="0.25">
      <c r="A154" s="17">
        <v>12</v>
      </c>
      <c r="B154" s="81" t="s">
        <v>71</v>
      </c>
      <c r="C154" s="73" t="s">
        <v>25</v>
      </c>
      <c r="D154" s="31">
        <v>350106</v>
      </c>
      <c r="E154" s="74" t="s">
        <v>72</v>
      </c>
      <c r="F154" s="21">
        <v>1000</v>
      </c>
      <c r="G154" s="76" t="s">
        <v>27</v>
      </c>
      <c r="H154" s="77">
        <v>43101</v>
      </c>
      <c r="I154" s="77">
        <v>43465</v>
      </c>
      <c r="J154" s="79"/>
      <c r="K154" s="25">
        <f>IF(G154="გამ. შესყიდვა",SUMIFS('[1]გამარტივებული შესყიდვა'!L:L,'[1]გამარტივებული შესყიდვა'!K:K,B154,'[1]გამარტივებული შესყიდვა'!N:N,"საკუთარი შემოსავლები",'[1]გამარტივებული შესყიდვა'!O:O,"350106"),0)</f>
        <v>0</v>
      </c>
      <c r="L154" s="25">
        <f>IF(G154="გამ. შესყიდვა",SUMIFS('[1]გამარტივებული შესყიდვა'!L:L,'[1]გამარტივებული შესყიდვა'!K:K,B154,'[1]გამარტივებული შესყიდვა'!N:N,"საკუთარი შემოსავლები",'[1]გამარტივებული შესყიდვა'!O:O,"3503030702"),0)</f>
        <v>0</v>
      </c>
      <c r="M154" s="25">
        <f>IF(G154="კონს. ტენდერი",SUMIFS('[1]კონსოლიდირებული ტენდერი'!L:L,'[1]კონსოლიდირებული ტენდერი'!E:E,B154,'[1]კონსოლიდირებული ტენდერი'!N:N,"საკუთარი შემოსავლები",'[1]კონსოლიდირებული ტენდერი'!O:O,"350106"),0)</f>
        <v>0</v>
      </c>
      <c r="N154" s="25">
        <f>IF(G154="კონს. ტენდერი",SUMIFS('[1]კონსოლიდირებული ტენდერი'!L:L,'[1]კონსოლიდირებული ტენდერი'!E:E,B154,'[1]კონსოლიდირებული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4" s="25">
        <f>IF(G154="ელ. ტენდერი",SUMIFS('[1]ელ. ტენდერი'!N:N,'[1]ელ. ტენდერი'!G:G,'30.05.2018'!B154,'[1]ელ. ტენდერი'!Q:Q,"საკუთარი შემოსავლები",'[1]ელ. ტენდერი'!R:R,"350106"),0)</f>
        <v>0</v>
      </c>
      <c r="P154" s="25">
        <f>IF(G154="ელ. ტენდერი",SUMIFS('[1]ელ. ტენდერი'!N:N,'[1]ელ. ტენდერი'!G:G,'30.05.2018'!B154,'[1]ელ. ტენდერი'!Q:Q,"საკუთარი შემოსავლები",'[1]ელ. ტენდერი'!R:R,"3503030702"),0)</f>
        <v>0</v>
      </c>
      <c r="Q154" s="26">
        <f t="shared" si="4"/>
        <v>1000</v>
      </c>
    </row>
    <row r="155" spans="1:17" x14ac:dyDescent="0.25">
      <c r="A155" s="11">
        <v>13</v>
      </c>
      <c r="B155" s="81" t="s">
        <v>71</v>
      </c>
      <c r="C155" s="73" t="s">
        <v>25</v>
      </c>
      <c r="D155" s="31">
        <v>350106</v>
      </c>
      <c r="E155" s="74" t="s">
        <v>72</v>
      </c>
      <c r="F155" s="21">
        <v>1000</v>
      </c>
      <c r="G155" s="76" t="s">
        <v>27</v>
      </c>
      <c r="H155" s="77">
        <v>43101</v>
      </c>
      <c r="I155" s="77">
        <v>43465</v>
      </c>
      <c r="J155" s="79"/>
      <c r="K155" s="25">
        <f>IF(G155="გამ. შესყიდვა",SUMIFS('[1]გამარტივებული შესყიდვა'!L:L,'[1]გამარტივებული შესყიდვა'!K:K,B155,'[1]გამარტივებული შესყიდვა'!N:N,"საკუთარი შემოსავლები",'[1]გამარტივებული შესყიდვა'!O:O,"350106"),0)</f>
        <v>0</v>
      </c>
      <c r="L155" s="25">
        <f>IF(G155="გამ. შესყიდვა",SUMIFS('[1]გამარტივებული შესყიდვა'!L:L,'[1]გამარტივებული შესყიდვა'!K:K,B155,'[1]გამარტივებული შესყიდვა'!N:N,"საკუთარი შემოსავლები",'[1]გამარტივებული შესყიდვა'!O:O,"3503030702"),0)</f>
        <v>0</v>
      </c>
      <c r="M155" s="25">
        <f>IF(G155="კონს. ტენდერი",SUMIFS('[1]კონსოლიდირებული ტენდერი'!L:L,'[1]კონსოლიდირებული ტენდერი'!E:E,B155,'[1]კონსოლიდირებული ტენდერი'!N:N,"საკუთარი შემოსავლები",'[1]კონსოლიდირებული ტენდერი'!O:O,"350106"),0)</f>
        <v>0</v>
      </c>
      <c r="N155" s="25">
        <f>IF(G155="კონს. ტენდერი",SUMIFS('[1]კონსოლიდირებული ტენდერი'!L:L,'[1]კონსოლიდირებული ტენდერი'!E:E,B155,'[1]კონსოლიდირებული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5" s="25">
        <f>IF(G155="ელ. ტენდერი",SUMIFS('[1]ელ. ტენდერი'!N:N,'[1]ელ. ტენდერი'!G:G,'30.05.2018'!B155,'[1]ელ. ტენდერი'!Q:Q,"საკუთარი შემოსავლები",'[1]ელ. ტენდერი'!R:R,"350106"),0)</f>
        <v>0</v>
      </c>
      <c r="P155" s="25">
        <f>IF(G155="ელ. ტენდერი",SUMIFS('[1]ელ. ტენდერი'!N:N,'[1]ელ. ტენდერი'!G:G,'30.05.2018'!B155,'[1]ელ. ტენდერი'!Q:Q,"საკუთარი შემოსავლები",'[1]ელ. ტენდერი'!R:R,"3503030702"),0)</f>
        <v>0</v>
      </c>
      <c r="Q155" s="26">
        <f t="shared" si="4"/>
        <v>1000</v>
      </c>
    </row>
    <row r="156" spans="1:17" x14ac:dyDescent="0.25">
      <c r="A156" s="17">
        <v>14</v>
      </c>
      <c r="B156" s="81" t="s">
        <v>73</v>
      </c>
      <c r="C156" s="73" t="s">
        <v>25</v>
      </c>
      <c r="D156" s="31">
        <v>350106</v>
      </c>
      <c r="E156" s="74" t="s">
        <v>74</v>
      </c>
      <c r="F156" s="21">
        <v>1000</v>
      </c>
      <c r="G156" s="76" t="s">
        <v>27</v>
      </c>
      <c r="H156" s="77">
        <v>43101</v>
      </c>
      <c r="I156" s="77">
        <v>43465</v>
      </c>
      <c r="J156" s="79"/>
      <c r="K156" s="25">
        <f>IF(G156="გამ. შესყიდვა",SUMIFS('[1]გამარტივებული შესყიდვა'!L:L,'[1]გამარტივებული შესყიდვა'!K:K,B156,'[1]გამარტივებული შესყიდვა'!N:N,"საკუთარი შემოსავლები",'[1]გამარტივებული შესყიდვა'!O:O,"350106"),0)</f>
        <v>0</v>
      </c>
      <c r="L156" s="25">
        <f>IF(G156="გამ. შესყიდვა",SUMIFS('[1]გამარტივებული შესყიდვა'!L:L,'[1]გამარტივებული შესყიდვა'!K:K,B156,'[1]გამარტივებული შესყიდვა'!N:N,"საკუთარი შემოსავლები",'[1]გამარტივებული შესყიდვა'!O:O,"3503030702"),0)</f>
        <v>0</v>
      </c>
      <c r="M156" s="25">
        <f>IF(G156="კონს. ტენდერი",SUMIFS('[1]კონსოლიდირებული ტენდერი'!L:L,'[1]კონსოლიდირებული ტენდერი'!E:E,B156,'[1]კონსოლიდირებული ტენდერი'!N:N,"საკუთარი შემოსავლები",'[1]კონსოლიდირებული ტენდერი'!O:O,"350106"),0)</f>
        <v>0</v>
      </c>
      <c r="N156" s="25">
        <f>IF(G156="კონს. ტენდერი",SUMIFS('[1]კონსოლიდირებული ტენდერი'!L:L,'[1]კონსოლიდირებული ტენდერი'!E:E,B156,'[1]კონსოლიდირებული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6" s="25">
        <f>IF(G156="ელ. ტენდერი",SUMIFS('[1]ელ. ტენდერი'!N:N,'[1]ელ. ტენდერი'!G:G,'30.05.2018'!B156,'[1]ელ. ტენდერი'!Q:Q,"საკუთარი შემოსავლები",'[1]ელ. ტენდერი'!R:R,"350106"),0)</f>
        <v>0</v>
      </c>
      <c r="P156" s="25">
        <f>IF(G156="ელ. ტენდერი",SUMIFS('[1]ელ. ტენდერი'!N:N,'[1]ელ. ტენდერი'!G:G,'30.05.2018'!B156,'[1]ელ. ტენდერი'!Q:Q,"საკუთარი შემოსავლები",'[1]ელ. ტენდერი'!R:R,"3503030702"),0)</f>
        <v>0</v>
      </c>
      <c r="Q156" s="26">
        <f t="shared" si="4"/>
        <v>1000</v>
      </c>
    </row>
    <row r="157" spans="1:17" x14ac:dyDescent="0.25">
      <c r="A157" s="11">
        <v>15</v>
      </c>
      <c r="B157" s="81" t="s">
        <v>73</v>
      </c>
      <c r="C157" s="73" t="s">
        <v>25</v>
      </c>
      <c r="D157" s="31">
        <v>350106</v>
      </c>
      <c r="E157" s="74" t="s">
        <v>74</v>
      </c>
      <c r="F157" s="21">
        <v>1500</v>
      </c>
      <c r="G157" s="76" t="s">
        <v>27</v>
      </c>
      <c r="H157" s="77">
        <v>43101</v>
      </c>
      <c r="I157" s="77">
        <v>43465</v>
      </c>
      <c r="J157" s="79"/>
      <c r="K157" s="25">
        <f>IF(G157="გამ. შესყიდვა",SUMIFS('[1]გამარტივებული შესყიდვა'!L:L,'[1]გამარტივებული შესყიდვა'!K:K,B157,'[1]გამარტივებული შესყიდვა'!N:N,"საკუთარი შემოსავლები",'[1]გამარტივებული შესყიდვა'!O:O,"350106"),0)</f>
        <v>0</v>
      </c>
      <c r="L157" s="25">
        <f>IF(G157="გამ. შესყიდვა",SUMIFS('[1]გამარტივებული შესყიდვა'!L:L,'[1]გამარტივებული შესყიდვა'!K:K,B157,'[1]გამარტივებული შესყიდვა'!N:N,"საკუთარი შემოსავლები",'[1]გამარტივებული შესყიდვა'!O:O,"3503030702"),0)</f>
        <v>0</v>
      </c>
      <c r="M157" s="25">
        <f>IF(G157="კონს. ტენდერი",SUMIFS('[1]კონსოლიდირებული ტენდერი'!L:L,'[1]კონსოლიდირებული ტენდერი'!E:E,B157,'[1]კონსოლიდირებული ტენდერი'!N:N,"საკუთარი შემოსავლები",'[1]კონსოლიდირებული ტენდერი'!O:O,"350106"),0)</f>
        <v>0</v>
      </c>
      <c r="N157" s="25">
        <f>IF(G157="კონს. ტენდერი",SUMIFS('[1]კონსოლიდირებული ტენდერი'!L:L,'[1]კონსოლიდირებული ტენდერი'!E:E,B157,'[1]კონსოლიდირებული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7" s="25">
        <f>IF(G157="ელ. ტენდერი",SUMIFS('[1]ელ. ტენდერი'!N:N,'[1]ელ. ტენდერი'!G:G,'30.05.2018'!B157,'[1]ელ. ტენდერი'!Q:Q,"საკუთარი შემოსავლები",'[1]ელ. ტენდერი'!R:R,"350106"),0)</f>
        <v>0</v>
      </c>
      <c r="P157" s="25">
        <f>IF(G157="ელ. ტენდერი",SUMIFS('[1]ელ. ტენდერი'!N:N,'[1]ელ. ტენდერი'!G:G,'30.05.2018'!B157,'[1]ელ. ტენდერი'!Q:Q,"საკუთარი შემოსავლები",'[1]ელ. ტენდერი'!R:R,"3503030702"),0)</f>
        <v>0</v>
      </c>
      <c r="Q157" s="26">
        <f t="shared" si="4"/>
        <v>1500</v>
      </c>
    </row>
    <row r="158" spans="1:17" x14ac:dyDescent="0.25">
      <c r="A158" s="17">
        <v>16</v>
      </c>
      <c r="B158" s="81" t="s">
        <v>75</v>
      </c>
      <c r="C158" s="73" t="s">
        <v>25</v>
      </c>
      <c r="D158" s="31">
        <v>350106</v>
      </c>
      <c r="E158" s="74" t="s">
        <v>230</v>
      </c>
      <c r="F158" s="21">
        <v>500</v>
      </c>
      <c r="G158" s="76" t="s">
        <v>27</v>
      </c>
      <c r="H158" s="77">
        <v>43101</v>
      </c>
      <c r="I158" s="77">
        <v>43465</v>
      </c>
      <c r="J158" s="79"/>
      <c r="K158" s="25">
        <f>IF(G158="გამ. შესყიდვა",SUMIFS('[1]გამარტივებული შესყიდვა'!L:L,'[1]გამარტივებული შესყიდვა'!K:K,B158,'[1]გამარტივებული შესყიდვა'!N:N,"საკუთარი შემოსავლები",'[1]გამარტივებული შესყიდვა'!O:O,"350106"),0)</f>
        <v>0</v>
      </c>
      <c r="L158" s="25">
        <f>IF(G158="გამ. შესყიდვა",SUMIFS('[1]გამარტივებული შესყიდვა'!L:L,'[1]გამარტივებული შესყიდვა'!K:K,B158,'[1]გამარტივებული შესყიდვა'!N:N,"საკუთარი შემოსავლები",'[1]გამარტივებული შესყიდვა'!O:O,"3503030702"),0)</f>
        <v>0</v>
      </c>
      <c r="M158" s="25">
        <f>IF(G158="კონს. ტენდერი",SUMIFS('[1]კონსოლიდირებული ტენდერი'!L:L,'[1]კონსოლიდირებული ტენდერი'!E:E,B158,'[1]კონსოლიდირებული ტენდერი'!N:N,"საკუთარი შემოსავლები",'[1]კონსოლიდირებული ტენდერი'!O:O,"350106"),0)</f>
        <v>0</v>
      </c>
      <c r="N158" s="25">
        <f>IF(G158="კონს. ტენდერი",SUMIFS('[1]კონსოლიდირებული ტენდერი'!L:L,'[1]კონსოლიდირებული ტენდერი'!E:E,B158,'[1]კონსოლიდირებული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8" s="25">
        <f>IF(G158="ელ. ტენდერი",SUMIFS('[1]ელ. ტენდერი'!N:N,'[1]ელ. ტენდერი'!G:G,'30.05.2018'!B158,'[1]ელ. ტენდერი'!Q:Q,"საკუთარი შემოსავლები",'[1]ელ. ტენდერი'!R:R,"350106"),0)</f>
        <v>0</v>
      </c>
      <c r="P158" s="25">
        <f>IF(G158="ელ. ტენდერი",SUMIFS('[1]ელ. ტენდერი'!N:N,'[1]ელ. ტენდერი'!G:G,'30.05.2018'!B158,'[1]ელ. ტენდერი'!Q:Q,"საკუთარი შემოსავლები",'[1]ელ. ტენდერი'!R:R,"3503030702"),0)</f>
        <v>0</v>
      </c>
      <c r="Q158" s="26">
        <f t="shared" si="4"/>
        <v>500</v>
      </c>
    </row>
    <row r="159" spans="1:17" x14ac:dyDescent="0.25">
      <c r="A159" s="11">
        <v>17</v>
      </c>
      <c r="B159" s="81" t="s">
        <v>75</v>
      </c>
      <c r="C159" s="73" t="s">
        <v>25</v>
      </c>
      <c r="D159" s="31">
        <v>350106</v>
      </c>
      <c r="E159" s="74" t="s">
        <v>230</v>
      </c>
      <c r="F159" s="21">
        <f>2990-1000</f>
        <v>1990</v>
      </c>
      <c r="G159" s="76" t="s">
        <v>27</v>
      </c>
      <c r="H159" s="77">
        <v>43101</v>
      </c>
      <c r="I159" s="77">
        <v>43465</v>
      </c>
      <c r="J159" s="79"/>
      <c r="K159" s="25">
        <f>IF(G159="გამ. შესყიდვა",SUMIFS('[1]გამარტივებული შესყიდვა'!L:L,'[1]გამარტივებული შესყიდვა'!K:K,B159,'[1]გამარტივებული შესყიდვა'!N:N,"საკუთარი შემოსავლები",'[1]გამარტივებული შესყიდვა'!O:O,"350106"),0)</f>
        <v>0</v>
      </c>
      <c r="L159" s="25">
        <f>IF(G159="გამ. შესყიდვა",SUMIFS('[1]გამარტივებული შესყიდვა'!L:L,'[1]გამარტივებული შესყიდვა'!K:K,B159,'[1]გამარტივებული შესყიდვა'!N:N,"საკუთარი შემოსავლები",'[1]გამარტივებული შესყიდვა'!O:O,"3503030702"),0)</f>
        <v>0</v>
      </c>
      <c r="M159" s="25">
        <f>IF(G159="კონს. ტენდერი",SUMIFS('[1]კონსოლიდირებული ტენდერი'!L:L,'[1]კონსოლიდირებული ტენდერი'!E:E,B159,'[1]კონსოლიდირებული ტენდერი'!N:N,"საკუთარი შემოსავლები",'[1]კონსოლიდირებული ტენდერი'!O:O,"350106"),0)</f>
        <v>0</v>
      </c>
      <c r="N159" s="25">
        <f>IF(G159="კონს. ტენდერი",SUMIFS('[1]კონსოლიდირებული ტენდერი'!L:L,'[1]კონსოლიდირებული ტენდერი'!E:E,B159,'[1]კონსოლიდირებული ტენდერი'!N:N,"საკუთარი შემოსავლები",'[1]კონსოლიდირებული ტენდერი'!O:O,"3503030702"),0)</f>
        <v>0</v>
      </c>
      <c r="O159" s="25">
        <f>IF(G159="ელ. ტენდერი",SUMIFS('[1]ელ. ტენდერი'!N:N,'[1]ელ. ტენდერი'!G:G,'30.05.2018'!B159,'[1]ელ. ტენდერი'!Q:Q,"საკუთარი შემოსავლები",'[1]ელ. ტენდერი'!R:R,"350106"),0)</f>
        <v>0</v>
      </c>
      <c r="P159" s="25">
        <f>IF(G159="ელ. ტენდერი",SUMIFS('[1]ელ. ტენდერი'!N:N,'[1]ელ. ტენდერი'!G:G,'30.05.2018'!B159,'[1]ელ. ტენდერი'!Q:Q,"საკუთარი შემოსავლები",'[1]ელ. ტენდერი'!R:R,"3503030702"),0)</f>
        <v>0</v>
      </c>
      <c r="Q159" s="26">
        <f t="shared" si="4"/>
        <v>1990</v>
      </c>
    </row>
    <row r="160" spans="1:17" x14ac:dyDescent="0.25">
      <c r="A160" s="17">
        <v>18</v>
      </c>
      <c r="B160" s="81" t="s">
        <v>77</v>
      </c>
      <c r="C160" s="73" t="s">
        <v>25</v>
      </c>
      <c r="D160" s="31">
        <v>350106</v>
      </c>
      <c r="E160" s="74" t="s">
        <v>231</v>
      </c>
      <c r="F160" s="21">
        <v>1000</v>
      </c>
      <c r="G160" s="76" t="s">
        <v>27</v>
      </c>
      <c r="H160" s="77">
        <v>43101</v>
      </c>
      <c r="I160" s="77">
        <v>43465</v>
      </c>
      <c r="J160" s="79"/>
      <c r="K160" s="25">
        <f>IF(G160="გამ. შესყიდვა",SUMIFS('[1]გამარტივებული შესყიდვა'!L:L,'[1]გამარტივებული შესყიდვა'!K:K,B160,'[1]გამარტივებული შესყიდვა'!N:N,"საკუთარი შემოსავლები",'[1]გამარტივებული შესყიდვა'!O:O,"350106"),0)</f>
        <v>0</v>
      </c>
      <c r="L160" s="25">
        <f>IF(G160="გამ. შესყიდვა",SUMIFS('[1]გამარტივებული შესყიდვა'!L:L,'[1]გამარტივებული შესყიდვა'!K:K,B160,'[1]გამარტივებული შესყიდვა'!N:N,"საკუთარი შემოსავლები",'[1]გამარტივებული შესყიდვა'!O:O,"3503030702"),0)</f>
        <v>0</v>
      </c>
      <c r="M160" s="25">
        <f>IF(G160="კონს. ტენდერი",SUMIFS('[1]კონსოლიდირებული ტენდერი'!L:L,'[1]კონსოლიდირებული ტენდერი'!E:E,B160,'[1]კონსოლიდირებული ტენდერი'!N:N,"საკუთარი შემოსავლები",'[1]კონსოლიდირებული ტენდერი'!O:O,"350106"),0)</f>
        <v>0</v>
      </c>
      <c r="N160" s="25">
        <f>IF(G160="კონს. ტენდერი",SUMIFS('[1]კონსოლიდირებული ტენდერი'!L:L,'[1]კონსოლიდირებული ტენდერი'!E:E,B160,'[1]კონსოლიდირებული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0" s="25">
        <f>IF(G160="ელ. ტენდერი",SUMIFS('[1]ელ. ტენდერი'!N:N,'[1]ელ. ტენდერი'!G:G,'30.05.2018'!B160,'[1]ელ. ტენდერი'!Q:Q,"საკუთარი შემოსავლები",'[1]ელ. ტენდერი'!R:R,"350106"),0)</f>
        <v>0</v>
      </c>
      <c r="P160" s="25">
        <f>IF(G160="ელ. ტენდერი",SUMIFS('[1]ელ. ტენდერი'!N:N,'[1]ელ. ტენდერი'!G:G,'30.05.2018'!B160,'[1]ელ. ტენდერი'!Q:Q,"საკუთარი შემოსავლები",'[1]ელ. ტენდერი'!R:R,"3503030702"),0)</f>
        <v>0</v>
      </c>
      <c r="Q160" s="26">
        <f t="shared" si="4"/>
        <v>1000</v>
      </c>
    </row>
    <row r="161" spans="1:17" x14ac:dyDescent="0.25">
      <c r="A161" s="11">
        <v>19</v>
      </c>
      <c r="B161" s="81" t="s">
        <v>232</v>
      </c>
      <c r="C161" s="73" t="s">
        <v>25</v>
      </c>
      <c r="D161" s="31">
        <v>350106</v>
      </c>
      <c r="E161" s="74" t="s">
        <v>233</v>
      </c>
      <c r="F161" s="21">
        <f>1500-1000</f>
        <v>500</v>
      </c>
      <c r="G161" s="76" t="s">
        <v>27</v>
      </c>
      <c r="H161" s="77">
        <v>43101</v>
      </c>
      <c r="I161" s="77">
        <v>43465</v>
      </c>
      <c r="J161" s="79"/>
      <c r="K161" s="25">
        <f>IF(G161="გამ. შესყიდვა",SUMIFS('[1]გამარტივებული შესყიდვა'!L:L,'[1]გამარტივებული შესყიდვა'!K:K,B161,'[1]გამარტივებული შესყიდვა'!N:N,"საკუთარი შემოსავლები",'[1]გამარტივებული შესყიდვა'!O:O,"350106"),0)</f>
        <v>0</v>
      </c>
      <c r="L161" s="25">
        <f>IF(G161="გამ. შესყიდვა",SUMIFS('[1]გამარტივებული შესყიდვა'!L:L,'[1]გამარტივებული შესყიდვა'!K:K,B161,'[1]გამარტივებული შესყიდვა'!N:N,"საკუთარი შემოსავლები",'[1]გამარტივებული შესყიდვა'!O:O,"3503030702"),0)</f>
        <v>0</v>
      </c>
      <c r="M161" s="25">
        <f>IF(G161="კონს. ტენდერი",SUMIFS('[1]კონსოლიდირებული ტენდერი'!L:L,'[1]კონსოლიდირებული ტენდერი'!E:E,B161,'[1]კონსოლიდირებული ტენდერი'!N:N,"საკუთარი შემოსავლები",'[1]კონსოლიდირებული ტენდერი'!O:O,"350106"),0)</f>
        <v>0</v>
      </c>
      <c r="N161" s="25">
        <f>IF(G161="კონს. ტენდერი",SUMIFS('[1]კონსოლიდირებული ტენდერი'!L:L,'[1]კონსოლიდირებული ტენდერი'!E:E,B161,'[1]კონსოლიდირებული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1" s="25">
        <f>IF(G161="ელ. ტენდერი",SUMIFS('[1]ელ. ტენდერი'!N:N,'[1]ელ. ტენდერი'!G:G,'30.05.2018'!B161,'[1]ელ. ტენდერი'!Q:Q,"საკუთარი შემოსავლები",'[1]ელ. ტენდერი'!R:R,"350106"),0)</f>
        <v>0</v>
      </c>
      <c r="P161" s="25">
        <f>IF(G161="ელ. ტენდერი",SUMIFS('[1]ელ. ტენდერი'!N:N,'[1]ელ. ტენდერი'!G:G,'30.05.2018'!B161,'[1]ელ. ტენდერი'!Q:Q,"საკუთარი შემოსავლები",'[1]ელ. ტენდერი'!R:R,"3503030702"),0)</f>
        <v>0</v>
      </c>
      <c r="Q161" s="26">
        <f t="shared" si="4"/>
        <v>500</v>
      </c>
    </row>
    <row r="162" spans="1:17" x14ac:dyDescent="0.25">
      <c r="A162" s="17">
        <v>20</v>
      </c>
      <c r="B162" s="81" t="s">
        <v>232</v>
      </c>
      <c r="C162" s="73" t="s">
        <v>25</v>
      </c>
      <c r="D162" s="31">
        <v>350106</v>
      </c>
      <c r="E162" s="74" t="s">
        <v>233</v>
      </c>
      <c r="F162" s="21">
        <v>1000</v>
      </c>
      <c r="G162" s="76" t="s">
        <v>27</v>
      </c>
      <c r="H162" s="77">
        <v>43101</v>
      </c>
      <c r="I162" s="77">
        <v>43465</v>
      </c>
      <c r="J162" s="79"/>
      <c r="K162" s="25">
        <f>IF(G162="გამ. შესყიდვა",SUMIFS('[1]გამარტივებული შესყიდვა'!L:L,'[1]გამარტივებული შესყიდვა'!K:K,B162,'[1]გამარტივებული შესყიდვა'!N:N,"საკუთარი შემოსავლები",'[1]გამარტივებული შესყიდვა'!O:O,"350106"),0)</f>
        <v>0</v>
      </c>
      <c r="L162" s="25">
        <f>IF(G162="გამ. შესყიდვა",SUMIFS('[1]გამარტივებული შესყიდვა'!L:L,'[1]გამარტივებული შესყიდვა'!K:K,B162,'[1]გამარტივებული შესყიდვა'!N:N,"საკუთარი შემოსავლები",'[1]გამარტივებული შესყიდვა'!O:O,"3503030702"),0)</f>
        <v>0</v>
      </c>
      <c r="M162" s="25">
        <f>IF(G162="კონს. ტენდერი",SUMIFS('[1]კონსოლიდირებული ტენდერი'!L:L,'[1]კონსოლიდირებული ტენდერი'!E:E,B162,'[1]კონსოლიდირებული ტენდერი'!N:N,"საკუთარი შემოსავლები",'[1]კონსოლიდირებული ტენდერი'!O:O,"350106"),0)</f>
        <v>0</v>
      </c>
      <c r="N162" s="25">
        <f>IF(G162="კონს. ტენდერი",SUMIFS('[1]კონსოლიდირებული ტენდერი'!L:L,'[1]კონსოლიდირებული ტენდერი'!E:E,B162,'[1]კონსოლიდირებული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2" s="25">
        <f>IF(G162="ელ. ტენდერი",SUMIFS('[1]ელ. ტენდერი'!N:N,'[1]ელ. ტენდერი'!G:G,'30.05.2018'!B162,'[1]ელ. ტენდერი'!Q:Q,"საკუთარი შემოსავლები",'[1]ელ. ტენდერი'!R:R,"350106"),0)</f>
        <v>0</v>
      </c>
      <c r="P162" s="25">
        <f>IF(G162="ელ. ტენდერი",SUMIFS('[1]ელ. ტენდერი'!N:N,'[1]ელ. ტენდერი'!G:G,'30.05.2018'!B162,'[1]ელ. ტენდერი'!Q:Q,"საკუთარი შემოსავლები",'[1]ელ. ტენდერი'!R:R,"3503030702"),0)</f>
        <v>0</v>
      </c>
      <c r="Q162" s="26">
        <f t="shared" si="4"/>
        <v>1000</v>
      </c>
    </row>
    <row r="163" spans="1:17" x14ac:dyDescent="0.25">
      <c r="A163" s="11">
        <v>21</v>
      </c>
      <c r="B163" s="81" t="s">
        <v>79</v>
      </c>
      <c r="C163" s="73" t="s">
        <v>25</v>
      </c>
      <c r="D163" s="31">
        <v>350106</v>
      </c>
      <c r="E163" s="74" t="s">
        <v>80</v>
      </c>
      <c r="F163" s="21">
        <v>500</v>
      </c>
      <c r="G163" s="76" t="s">
        <v>27</v>
      </c>
      <c r="H163" s="77">
        <v>43101</v>
      </c>
      <c r="I163" s="77">
        <v>43465</v>
      </c>
      <c r="J163" s="79"/>
      <c r="K163" s="25">
        <f>IF(G163="გამ. შესყიდვა",SUMIFS('[1]გამარტივებული შესყიდვა'!L:L,'[1]გამარტივებული შესყიდვა'!K:K,B163,'[1]გამარტივებული შესყიდვა'!N:N,"საკუთარი შემოსავლები",'[1]გამარტივებული შესყიდვა'!O:O,"350106"),0)</f>
        <v>0</v>
      </c>
      <c r="L163" s="25">
        <f>IF(G163="გამ. შესყიდვა",SUMIFS('[1]გამარტივებული შესყიდვა'!L:L,'[1]გამარტივებული შესყიდვა'!K:K,B163,'[1]გამარტივებული შესყიდვა'!N:N,"საკუთარი შემოსავლები",'[1]გამარტივებული შესყიდვა'!O:O,"3503030702"),0)</f>
        <v>0</v>
      </c>
      <c r="M163" s="25">
        <f>IF(G163="კონს. ტენდერი",SUMIFS('[1]კონსოლიდირებული ტენდერი'!L:L,'[1]კონსოლიდირებული ტენდერი'!E:E,B163,'[1]კონსოლიდირებული ტენდერი'!N:N,"საკუთარი შემოსავლები",'[1]კონსოლიდირებული ტენდერი'!O:O,"350106"),0)</f>
        <v>0</v>
      </c>
      <c r="N163" s="25">
        <f>IF(G163="კონს. ტენდერი",SUMIFS('[1]კონსოლიდირებული ტენდერი'!L:L,'[1]კონსოლიდირებული ტენდერი'!E:E,B163,'[1]კონსოლიდირებული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3" s="25">
        <f>IF(G163="ელ. ტენდერი",SUMIFS('[1]ელ. ტენდერი'!N:N,'[1]ელ. ტენდერი'!G:G,'30.05.2018'!B163,'[1]ელ. ტენდერი'!Q:Q,"საკუთარი შემოსავლები",'[1]ელ. ტენდერი'!R:R,"350106"),0)</f>
        <v>0</v>
      </c>
      <c r="P163" s="25">
        <f>IF(G163="ელ. ტენდერი",SUMIFS('[1]ელ. ტენდერი'!N:N,'[1]ელ. ტენდერი'!G:G,'30.05.2018'!B163,'[1]ელ. ტენდერი'!Q:Q,"საკუთარი შემოსავლები",'[1]ელ. ტენდერი'!R:R,"3503030702"),0)</f>
        <v>0</v>
      </c>
      <c r="Q163" s="26">
        <f t="shared" si="4"/>
        <v>500</v>
      </c>
    </row>
    <row r="164" spans="1:17" x14ac:dyDescent="0.25">
      <c r="A164" s="17">
        <v>22</v>
      </c>
      <c r="B164" s="72" t="s">
        <v>81</v>
      </c>
      <c r="C164" s="73" t="s">
        <v>25</v>
      </c>
      <c r="D164" s="31">
        <v>350106</v>
      </c>
      <c r="E164" s="74" t="s">
        <v>234</v>
      </c>
      <c r="F164" s="21">
        <f>3500-1000</f>
        <v>2500</v>
      </c>
      <c r="G164" s="76" t="s">
        <v>27</v>
      </c>
      <c r="H164" s="77">
        <v>43101</v>
      </c>
      <c r="I164" s="77">
        <v>43465</v>
      </c>
      <c r="J164" s="79"/>
      <c r="K164" s="25">
        <f>IF(G164="გამ. შესყიდვა",SUMIFS('[1]გამარტივებული შესყიდვა'!L:L,'[1]გამარტივებული შესყიდვა'!K:K,B164,'[1]გამარტივებული შესყიდვა'!N:N,"საკუთარი შემოსავლები",'[1]გამარტივებული შესყიდვა'!O:O,"350106"),0)</f>
        <v>0</v>
      </c>
      <c r="L164" s="25">
        <f>IF(G164="გამ. შესყიდვა",SUMIFS('[1]გამარტივებული შესყიდვა'!L:L,'[1]გამარტივებული შესყიდვა'!K:K,B164,'[1]გამარტივებული შესყიდვა'!N:N,"საკუთარი შემოსავლები",'[1]გამარტივებული შესყიდვა'!O:O,"3503030702"),0)</f>
        <v>0</v>
      </c>
      <c r="M164" s="25">
        <f>IF(G164="კონს. ტენდერი",SUMIFS('[1]კონსოლიდირებული ტენდერი'!L:L,'[1]კონსოლიდირებული ტენდერი'!E:E,B164,'[1]კონსოლიდირებული ტენდერი'!N:N,"საკუთარი შემოსავლები",'[1]კონსოლიდირებული ტენდერი'!O:O,"350106"),0)</f>
        <v>0</v>
      </c>
      <c r="N164" s="25">
        <f>IF(G164="კონს. ტენდერი",SUMIFS('[1]კონსოლიდირებული ტენდერი'!L:L,'[1]კონსოლიდირებული ტენდერი'!E:E,B164,'[1]კონსოლიდირებული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4" s="25">
        <f>IF(G164="ელ. ტენდერი",SUMIFS('[1]ელ. ტენდერი'!N:N,'[1]ელ. ტენდერი'!G:G,'30.05.2018'!B164,'[1]ელ. ტენდერი'!Q:Q,"საკუთარი შემოსავლები",'[1]ელ. ტენდერი'!R:R,"350106"),0)</f>
        <v>0</v>
      </c>
      <c r="P164" s="25">
        <f>IF(G164="ელ. ტენდერი",SUMIFS('[1]ელ. ტენდერი'!N:N,'[1]ელ. ტენდერი'!G:G,'30.05.2018'!B164,'[1]ელ. ტენდერი'!Q:Q,"საკუთარი შემოსავლები",'[1]ელ. ტენდერი'!R:R,"3503030702"),0)</f>
        <v>0</v>
      </c>
      <c r="Q164" s="26">
        <f t="shared" si="4"/>
        <v>2500</v>
      </c>
    </row>
    <row r="165" spans="1:17" x14ac:dyDescent="0.25">
      <c r="A165" s="11">
        <v>23</v>
      </c>
      <c r="B165" s="72" t="s">
        <v>89</v>
      </c>
      <c r="C165" s="73" t="s">
        <v>25</v>
      </c>
      <c r="D165" s="31">
        <v>350106</v>
      </c>
      <c r="E165" s="74" t="s">
        <v>90</v>
      </c>
      <c r="F165" s="21">
        <v>1500</v>
      </c>
      <c r="G165" s="76" t="s">
        <v>27</v>
      </c>
      <c r="H165" s="77">
        <v>43101</v>
      </c>
      <c r="I165" s="77">
        <v>43465</v>
      </c>
      <c r="J165" s="79"/>
      <c r="K165" s="25">
        <f>IF(G165="გამ. შესყიდვა",SUMIFS('[1]გამარტივებული შესყიდვა'!L:L,'[1]გამარტივებული შესყიდვა'!K:K,B165,'[1]გამარტივებული შესყიდვა'!N:N,"საკუთარი შემოსავლები",'[1]გამარტივებული შესყიდვა'!O:O,"350106"),0)</f>
        <v>0</v>
      </c>
      <c r="L165" s="25">
        <f>IF(G165="გამ. შესყიდვა",SUMIFS('[1]გამარტივებული შესყიდვა'!L:L,'[1]გამარტივებული შესყიდვა'!K:K,B165,'[1]გამარტივებული შესყიდვა'!N:N,"საკუთარი შემოსავლები",'[1]გამარტივებული შესყიდვა'!O:O,"3503030702"),0)</f>
        <v>1110.5</v>
      </c>
      <c r="M165" s="25">
        <f>IF(G165="კონს. ტენდერი",SUMIFS('[1]კონსოლიდირებული ტენდერი'!L:L,'[1]კონსოლიდირებული ტენდერი'!E:E,B165,'[1]კონსოლიდირებული ტენდერი'!N:N,"საკუთარი შემოსავლები",'[1]კონსოლიდირებული ტენდერი'!O:O,"350106"),0)</f>
        <v>0</v>
      </c>
      <c r="N165" s="25">
        <f>IF(G165="კონს. ტენდერი",SUMIFS('[1]კონსოლიდირებული ტენდერი'!L:L,'[1]კონსოლიდირებული ტენდერი'!E:E,B165,'[1]კონსოლიდირებული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5" s="25">
        <f>IF(G165="ელ. ტენდერი",SUMIFS('[1]ელ. ტენდერი'!N:N,'[1]ელ. ტენდერი'!G:G,'30.05.2018'!B165,'[1]ელ. ტენდერი'!Q:Q,"საკუთარი შემოსავლები",'[1]ელ. ტენდერი'!R:R,"350106"),0)</f>
        <v>0</v>
      </c>
      <c r="P165" s="25">
        <f>IF(G165="ელ. ტენდერი",SUMIFS('[1]ელ. ტენდერი'!N:N,'[1]ელ. ტენდერი'!G:G,'30.05.2018'!B165,'[1]ელ. ტენდერი'!Q:Q,"საკუთარი შემოსავლები",'[1]ელ. ტენდერი'!R:R,"3503030702"),0)</f>
        <v>0</v>
      </c>
      <c r="Q165" s="26">
        <f t="shared" si="4"/>
        <v>389.5</v>
      </c>
    </row>
    <row r="166" spans="1:17" x14ac:dyDescent="0.25">
      <c r="A166" s="17">
        <v>24</v>
      </c>
      <c r="B166" s="72" t="s">
        <v>89</v>
      </c>
      <c r="C166" s="73" t="s">
        <v>25</v>
      </c>
      <c r="D166" s="19">
        <v>3503030702</v>
      </c>
      <c r="E166" s="74" t="s">
        <v>90</v>
      </c>
      <c r="F166" s="21">
        <v>1500</v>
      </c>
      <c r="G166" s="76" t="s">
        <v>27</v>
      </c>
      <c r="H166" s="77">
        <v>43101</v>
      </c>
      <c r="I166" s="77">
        <v>43465</v>
      </c>
      <c r="J166" s="79"/>
      <c r="K166" s="25">
        <f>IF(G166="გამ. შესყიდვა",SUMIFS('[1]გამარტივებული შესყიდვა'!L:L,'[1]გამარტივებული შესყიდვა'!K:K,B166,'[1]გამარტივებული შესყიდვა'!N:N,"საკუთარი შემოსავლები",'[1]გამარტივებული შესყიდვა'!O:O,"350106"),0)</f>
        <v>0</v>
      </c>
      <c r="L166" s="25">
        <f>IF(G166="გამ. შესყიდვა",SUMIFS('[1]გამარტივებული შესყიდვა'!L:L,'[1]გამარტივებული შესყიდვა'!K:K,B166,'[1]გამარტივებული შესყიდვა'!N:N,"საკუთარი შემოსავლები",'[1]გამარტივებული შესყიდვა'!O:O,"3503030702"),0)</f>
        <v>1110.5</v>
      </c>
      <c r="M166" s="25">
        <f>IF(G166="კონს. ტენდერი",SUMIFS('[1]კონსოლიდირებული ტენდერი'!L:L,'[1]კონსოლიდირებული ტენდერი'!E:E,B166,'[1]კონსოლიდირებული ტენდერი'!N:N,"საკუთარი შემოსავლები",'[1]კონსოლიდირებული ტენდერი'!O:O,"350106"),0)</f>
        <v>0</v>
      </c>
      <c r="N166" s="25">
        <f>IF(G166="კონს. ტენდერი",SUMIFS('[1]კონსოლიდირებული ტენდერი'!L:L,'[1]კონსოლიდირებული ტენდერი'!E:E,B166,'[1]კონსოლიდირებული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6" s="25">
        <f>IF(G166="ელ. ტენდერი",SUMIFS('[1]ელ. ტენდერი'!N:N,'[1]ელ. ტენდერი'!G:G,'30.05.2018'!B166,'[1]ელ. ტენდერი'!Q:Q,"საკუთარი შემოსავლები",'[1]ელ. ტენდერი'!R:R,"350106"),0)</f>
        <v>0</v>
      </c>
      <c r="P166" s="25">
        <f>IF(G166="ელ. ტენდერი",SUMIFS('[1]ელ. ტენდერი'!N:N,'[1]ელ. ტენდერი'!G:G,'30.05.2018'!B166,'[1]ელ. ტენდერი'!Q:Q,"საკუთარი შემოსავლები",'[1]ელ. ტენდერი'!R:R,"3503030702"),0)</f>
        <v>0</v>
      </c>
      <c r="Q166" s="26">
        <f t="shared" si="4"/>
        <v>389.5</v>
      </c>
    </row>
    <row r="167" spans="1:17" x14ac:dyDescent="0.25">
      <c r="A167" s="11">
        <v>25</v>
      </c>
      <c r="B167" s="72" t="s">
        <v>91</v>
      </c>
      <c r="C167" s="73" t="s">
        <v>25</v>
      </c>
      <c r="D167" s="19">
        <v>3503030702</v>
      </c>
      <c r="E167" s="20" t="s">
        <v>92</v>
      </c>
      <c r="F167" s="21">
        <v>2000</v>
      </c>
      <c r="G167" s="76" t="s">
        <v>27</v>
      </c>
      <c r="H167" s="77">
        <v>43210</v>
      </c>
      <c r="I167" s="77">
        <v>43465</v>
      </c>
      <c r="J167" s="79"/>
      <c r="K167" s="25">
        <f>IF(G167="გამ. შესყიდვა",SUMIFS('[1]გამარტივებული შესყიდვა'!L:L,'[1]გამარტივებული შესყიდვა'!K:K,B167,'[1]გამარტივებული შესყიდვა'!N:N,"საკუთარი შემოსავლები",'[1]გამარტივებული შესყიდვა'!O:O,"350106"),0)</f>
        <v>0</v>
      </c>
      <c r="L167" s="25">
        <f>IF(G167="გამ. შესყიდვა",SUMIFS('[1]გამარტივებული შესყიდვა'!L:L,'[1]გამარტივებული შესყიდვა'!K:K,B167,'[1]გამარტივებული შესყიდვა'!N:N,"საკუთარი შემოსავლები",'[1]გამარტივებული შესყიდვა'!O:O,"3503030702"),0)</f>
        <v>833.59999999999991</v>
      </c>
      <c r="M167" s="25">
        <f>IF(G167="კონს. ტენდერი",SUMIFS('[1]კონსოლიდირებული ტენდერი'!L:L,'[1]კონსოლიდირებული ტენდერი'!E:E,B167,'[1]კონსოლიდირებული ტენდერი'!N:N,"საკუთარი შემოსავლები",'[1]კონსოლიდირებული ტენდერი'!O:O,"350106"),0)</f>
        <v>0</v>
      </c>
      <c r="N167" s="25">
        <f>IF(G167="კონს. ტენდერი",SUMIFS('[1]კონსოლიდირებული ტენდერი'!L:L,'[1]კონსოლიდირებული ტენდერი'!E:E,B167,'[1]კონსოლიდირებული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7" s="25">
        <f>IF(G167="ელ. ტენდერი",SUMIFS('[1]ელ. ტენდერი'!N:N,'[1]ელ. ტენდერი'!G:G,'30.05.2018'!B167,'[1]ელ. ტენდერი'!Q:Q,"საკუთარი შემოსავლები",'[1]ელ. ტენდერი'!R:R,"350106"),0)</f>
        <v>0</v>
      </c>
      <c r="P167" s="25">
        <f>IF(G167="ელ. ტენდერი",SUMIFS('[1]ელ. ტენდერი'!N:N,'[1]ელ. ტენდერი'!G:G,'30.05.2018'!B167,'[1]ელ. ტენდერი'!Q:Q,"საკუთარი შემოსავლები",'[1]ელ. ტენდერი'!R:R,"3503030702"),0)</f>
        <v>0</v>
      </c>
      <c r="Q167" s="26">
        <f t="shared" si="4"/>
        <v>1166.4000000000001</v>
      </c>
    </row>
    <row r="168" spans="1:17" x14ac:dyDescent="0.25">
      <c r="A168" s="17">
        <v>26</v>
      </c>
      <c r="B168" s="72" t="s">
        <v>96</v>
      </c>
      <c r="C168" s="73" t="s">
        <v>25</v>
      </c>
      <c r="D168" s="31">
        <v>350106</v>
      </c>
      <c r="E168" s="74" t="s">
        <v>97</v>
      </c>
      <c r="F168" s="21">
        <f>2000</f>
        <v>2000</v>
      </c>
      <c r="G168" s="76" t="s">
        <v>27</v>
      </c>
      <c r="H168" s="77">
        <v>43101</v>
      </c>
      <c r="I168" s="77">
        <v>43465</v>
      </c>
      <c r="J168" s="79"/>
      <c r="K168" s="25">
        <f>IF(G168="გამ. შესყიდვა",SUMIFS('[1]გამარტივებული შესყიდვა'!L:L,'[1]გამარტივებული შესყიდვა'!K:K,B168,'[1]გამარტივებული შესყიდვა'!N:N,"საკუთარი შემოსავლები",'[1]გამარტივებული შესყიდვა'!O:O,"350106"),0)</f>
        <v>0</v>
      </c>
      <c r="L168" s="25">
        <f>IF(G168="გამ. შესყიდვა",SUMIFS('[1]გამარტივებული შესყიდვა'!L:L,'[1]გამარტივებული შესყიდვა'!K:K,B168,'[1]გამარტივებული შესყიდვა'!N:N,"საკუთარი შემოსავლები",'[1]გამარტივებული შესყიდვა'!O:O,"3503030702"),0)</f>
        <v>0</v>
      </c>
      <c r="M168" s="25">
        <f>IF(G168="კონს. ტენდერი",SUMIFS('[1]კონსოლიდირებული ტენდერი'!L:L,'[1]კონსოლიდირებული ტენდერი'!E:E,B168,'[1]კონსოლიდირებული ტენდერი'!N:N,"საკუთარი შემოსავლები",'[1]კონსოლიდირებული ტენდერი'!O:O,"350106"),0)</f>
        <v>0</v>
      </c>
      <c r="N168" s="25">
        <f>IF(G168="კონს. ტენდერი",SUMIFS('[1]კონსოლიდირებული ტენდერი'!L:L,'[1]კონსოლიდირებული ტენდერი'!E:E,B168,'[1]კონსოლიდირებული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8" s="25">
        <f>IF(G168="ელ. ტენდერი",SUMIFS('[1]ელ. ტენდერი'!N:N,'[1]ელ. ტენდერი'!G:G,'30.05.2018'!B168,'[1]ელ. ტენდერი'!Q:Q,"საკუთარი შემოსავლები",'[1]ელ. ტენდერი'!R:R,"350106"),0)</f>
        <v>0</v>
      </c>
      <c r="P168" s="25">
        <f>IF(G168="ელ. ტენდერი",SUMIFS('[1]ელ. ტენდერი'!N:N,'[1]ელ. ტენდერი'!G:G,'30.05.2018'!B168,'[1]ელ. ტენდერი'!Q:Q,"საკუთარი შემოსავლები",'[1]ელ. ტენდერი'!R:R,"3503030702"),0)</f>
        <v>0</v>
      </c>
      <c r="Q168" s="26">
        <f t="shared" si="4"/>
        <v>2000</v>
      </c>
    </row>
    <row r="169" spans="1:17" x14ac:dyDescent="0.25">
      <c r="A169" s="11">
        <v>27</v>
      </c>
      <c r="B169" s="72" t="s">
        <v>96</v>
      </c>
      <c r="C169" s="73" t="s">
        <v>25</v>
      </c>
      <c r="D169" s="19">
        <v>3503030702</v>
      </c>
      <c r="E169" s="74" t="s">
        <v>97</v>
      </c>
      <c r="F169" s="21">
        <v>990</v>
      </c>
      <c r="G169" s="76" t="s">
        <v>27</v>
      </c>
      <c r="H169" s="77">
        <v>43101</v>
      </c>
      <c r="I169" s="77">
        <v>43465</v>
      </c>
      <c r="J169" s="79"/>
      <c r="K169" s="25">
        <f>IF(G169="გამ. შესყიდვა",SUMIFS('[1]გამარტივებული შესყიდვა'!L:L,'[1]გამარტივებული შესყიდვა'!K:K,B169,'[1]გამარტივებული შესყიდვა'!N:N,"საკუთარი შემოსავლები",'[1]გამარტივებული შესყიდვა'!O:O,"350106"),0)</f>
        <v>0</v>
      </c>
      <c r="L169" s="25">
        <f>IF(G169="გამ. შესყიდვა",SUMIFS('[1]გამარტივებული შესყიდვა'!L:L,'[1]გამარტივებული შესყიდვა'!K:K,B169,'[1]გამარტივებული შესყიდვა'!N:N,"საკუთარი შემოსავლები",'[1]გამარტივებული შესყიდვა'!O:O,"3503030702"),0)</f>
        <v>0</v>
      </c>
      <c r="M169" s="25">
        <f>IF(G169="კონს. ტენდერი",SUMIFS('[1]კონსოლიდირებული ტენდერი'!L:L,'[1]კონსოლიდირებული ტენდერი'!E:E,B169,'[1]კონსოლიდირებული ტენდერი'!N:N,"საკუთარი შემოსავლები",'[1]კონსოლიდირებული ტენდერი'!O:O,"350106"),0)</f>
        <v>0</v>
      </c>
      <c r="N169" s="25">
        <f>IF(G169="კონს. ტენდერი",SUMIFS('[1]კონსოლიდირებული ტენდერი'!L:L,'[1]კონსოლიდირებული ტენდერი'!E:E,B169,'[1]კონსოლიდირებული ტენდერი'!N:N,"საკუთარი შემოსავლები",'[1]კონსოლიდირებული ტენდერი'!O:O,"3503030702"),0)</f>
        <v>0</v>
      </c>
      <c r="O169" s="25">
        <f>IF(G169="ელ. ტენდერი",SUMIFS('[1]ელ. ტენდერი'!N:N,'[1]ელ. ტენდერი'!G:G,'30.05.2018'!B169,'[1]ელ. ტენდერი'!Q:Q,"საკუთარი შემოსავლები",'[1]ელ. ტენდერი'!R:R,"350106"),0)</f>
        <v>0</v>
      </c>
      <c r="P169" s="25">
        <f>IF(G169="ელ. ტენდერი",SUMIFS('[1]ელ. ტენდერი'!N:N,'[1]ელ. ტენდერი'!G:G,'30.05.2018'!B169,'[1]ელ. ტენდერი'!Q:Q,"საკუთარი შემოსავლები",'[1]ელ. ტენდერი'!R:R,"3503030702"),0)</f>
        <v>0</v>
      </c>
      <c r="Q169" s="26">
        <f t="shared" si="4"/>
        <v>990</v>
      </c>
    </row>
    <row r="170" spans="1:17" x14ac:dyDescent="0.25">
      <c r="A170" s="17">
        <v>28</v>
      </c>
      <c r="B170" s="81" t="s">
        <v>100</v>
      </c>
      <c r="C170" s="73" t="s">
        <v>25</v>
      </c>
      <c r="D170" s="31">
        <v>350106</v>
      </c>
      <c r="E170" s="74" t="s">
        <v>235</v>
      </c>
      <c r="F170" s="21">
        <f>2990-500</f>
        <v>2490</v>
      </c>
      <c r="G170" s="76" t="s">
        <v>27</v>
      </c>
      <c r="H170" s="77">
        <v>43101</v>
      </c>
      <c r="I170" s="77">
        <v>43465</v>
      </c>
      <c r="J170" s="79"/>
      <c r="K170" s="25">
        <f>IF(G170="გამ. შესყიდვა",SUMIFS('[1]გამარტივებული შესყიდვა'!L:L,'[1]გამარტივებული შესყიდვა'!K:K,B170,'[1]გამარტივებული შესყიდვა'!N:N,"საკუთარი შემოსავლები",'[1]გამარტივებული შესყიდვა'!O:O,"350106"),0)</f>
        <v>0</v>
      </c>
      <c r="L170" s="25">
        <f>IF(G170="გამ. შესყიდვა",SUMIFS('[1]გამარტივებული შესყიდვა'!L:L,'[1]გამარტივებული შესყიდვა'!K:K,B170,'[1]გამარტივებული შესყიდვა'!N:N,"საკუთარი შემოსავლები",'[1]გამარტივებული შესყიდვა'!O:O,"3503030702"),0)</f>
        <v>0</v>
      </c>
      <c r="M170" s="25">
        <f>IF(G170="კონს. ტენდერი",SUMIFS('[1]კონსოლიდირებული ტენდერი'!L:L,'[1]კონსოლიდირებული ტენდერი'!E:E,B170,'[1]კონსოლიდირებული ტენდერი'!N:N,"საკუთარი შემოსავლები",'[1]კონსოლიდირებული ტენდერი'!O:O,"350106"),0)</f>
        <v>0</v>
      </c>
      <c r="N170" s="25">
        <f>IF(G170="კონს. ტენდერი",SUMIFS('[1]კონსოლიდირებული ტენდერი'!L:L,'[1]კონსოლიდირებული ტენდერი'!E:E,B170,'[1]კონსოლიდირებული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0" s="25">
        <f>IF(G170="ელ. ტენდერი",SUMIFS('[1]ელ. ტენდერი'!N:N,'[1]ელ. ტენდერი'!G:G,'30.05.2018'!B170,'[1]ელ. ტენდერი'!Q:Q,"საკუთარი შემოსავლები",'[1]ელ. ტენდერი'!R:R,"350106"),0)</f>
        <v>0</v>
      </c>
      <c r="P170" s="25">
        <f>IF(G170="ელ. ტენდერი",SUMIFS('[1]ელ. ტენდერი'!N:N,'[1]ელ. ტენდერი'!G:G,'30.05.2018'!B170,'[1]ელ. ტენდერი'!Q:Q,"საკუთარი შემოსავლები",'[1]ელ. ტენდერი'!R:R,"3503030702"),0)</f>
        <v>0</v>
      </c>
      <c r="Q170" s="26">
        <f t="shared" si="4"/>
        <v>2490</v>
      </c>
    </row>
    <row r="171" spans="1:17" x14ac:dyDescent="0.25">
      <c r="A171" s="11">
        <v>29</v>
      </c>
      <c r="B171" s="81" t="s">
        <v>102</v>
      </c>
      <c r="C171" s="73" t="s">
        <v>25</v>
      </c>
      <c r="D171" s="31">
        <v>350106</v>
      </c>
      <c r="E171" s="85" t="s">
        <v>103</v>
      </c>
      <c r="F171" s="21">
        <f>3000-2000</f>
        <v>1000</v>
      </c>
      <c r="G171" s="76" t="s">
        <v>27</v>
      </c>
      <c r="H171" s="77">
        <v>43101</v>
      </c>
      <c r="I171" s="77">
        <v>43465</v>
      </c>
      <c r="J171" s="79"/>
      <c r="K171" s="25">
        <f>IF(G171="გამ. შესყიდვა",SUMIFS('[1]გამარტივებული შესყიდვა'!L:L,'[1]გამარტივებული შესყიდვა'!K:K,B171,'[1]გამარტივებული შესყიდვა'!N:N,"საკუთარი შემოსავლები",'[1]გამარტივებული შესყიდვა'!O:O,"350106"),0)</f>
        <v>990</v>
      </c>
      <c r="L171" s="25">
        <f>IF(G171="გამ. შესყიდვა",SUMIFS('[1]გამარტივებული შესყიდვა'!L:L,'[1]გამარტივებული შესყიდვა'!K:K,B171,'[1]გამარტივებული შესყიდვა'!N:N,"საკუთარი შემოსავლები",'[1]გამარტივებული შესყიდვა'!O:O,"3503030702"),0)</f>
        <v>0</v>
      </c>
      <c r="M171" s="25">
        <f>IF(G171="კონს. ტენდერი",SUMIFS('[1]კონსოლიდირებული ტენდერი'!L:L,'[1]კონსოლიდირებული ტენდერი'!E:E,B171,'[1]კონსოლიდირებული ტენდერი'!N:N,"საკუთარი შემოსავლები",'[1]კონსოლიდირებული ტენდერი'!O:O,"350106"),0)</f>
        <v>0</v>
      </c>
      <c r="N171" s="25">
        <f>IF(G171="კონს. ტენდერი",SUMIFS('[1]კონსოლიდირებული ტენდერი'!L:L,'[1]კონსოლიდირებული ტენდერი'!E:E,B171,'[1]კონსოლიდირებული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1" s="25">
        <f>IF(G171="ელ. ტენდერი",SUMIFS('[1]ელ. ტენდერი'!N:N,'[1]ელ. ტენდერი'!G:G,'30.05.2018'!B171,'[1]ელ. ტენდერი'!Q:Q,"საკუთარი შემოსავლები",'[1]ელ. ტენდერი'!R:R,"350106"),0)</f>
        <v>0</v>
      </c>
      <c r="P171" s="25">
        <f>IF(G171="ელ. ტენდერი",SUMIFS('[1]ელ. ტენდერი'!N:N,'[1]ელ. ტენდერი'!G:G,'30.05.2018'!B171,'[1]ელ. ტენდერი'!Q:Q,"საკუთარი შემოსავლები",'[1]ელ. ტენდერი'!R:R,"3503030702"),0)</f>
        <v>0</v>
      </c>
      <c r="Q171" s="26">
        <f t="shared" si="4"/>
        <v>10</v>
      </c>
    </row>
    <row r="172" spans="1:17" x14ac:dyDescent="0.25">
      <c r="A172" s="17">
        <v>30</v>
      </c>
      <c r="B172" s="81" t="s">
        <v>108</v>
      </c>
      <c r="C172" s="35" t="s">
        <v>67</v>
      </c>
      <c r="D172" s="31">
        <v>350106</v>
      </c>
      <c r="E172" s="20" t="s">
        <v>109</v>
      </c>
      <c r="F172" s="37">
        <f>4990-990</f>
        <v>4000</v>
      </c>
      <c r="G172" s="22" t="s">
        <v>27</v>
      </c>
      <c r="H172" s="23">
        <v>43101</v>
      </c>
      <c r="I172" s="23">
        <v>43465</v>
      </c>
      <c r="J172" s="79"/>
      <c r="K172" s="25">
        <f>IF(G172="გამ. შესყიდვა",SUMIFS('[1]გამარტივებული შესყიდვა'!L:L,'[1]გამარტივებული შესყიდვა'!K:K,B172,'[1]გამარტივებული შესყიდვა'!N:N,"საკუთარი შემოსავლები",'[1]გამარტივებული შესყიდვა'!O:O,"350106"),0)</f>
        <v>0</v>
      </c>
      <c r="L172" s="25">
        <f>IF(G172="გამ. შესყიდვა",SUMIFS('[1]გამარტივებული შესყიდვა'!L:L,'[1]გამარტივებული შესყიდვა'!K:K,B172,'[1]გამარტივებული შესყიდვა'!N:N,"საკუთარი შემოსავლები",'[1]გამარტივებული შესყიდვა'!O:O,"3503030702"),0)</f>
        <v>0</v>
      </c>
      <c r="M172" s="25">
        <f>IF(G172="კონს. ტენდერი",SUMIFS('[1]კონსოლიდირებული ტენდერი'!L:L,'[1]კონსოლიდირებული ტენდერი'!E:E,B172,'[1]კონსოლიდირებული ტენდერი'!N:N,"საკუთარი შემოსავლები",'[1]კონსოლიდირებული ტენდერი'!O:O,"350106"),0)</f>
        <v>0</v>
      </c>
      <c r="N172" s="25">
        <f>IF(G172="კონს. ტენდერი",SUMIFS('[1]კონსოლიდირებული ტენდერი'!L:L,'[1]კონსოლიდირებული ტენდერი'!E:E,B172,'[1]კონსოლიდირებული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2" s="25">
        <f>IF(G172="ელ. ტენდერი",SUMIFS('[1]ელ. ტენდერი'!N:N,'[1]ელ. ტენდერი'!G:G,'30.05.2018'!B172,'[1]ელ. ტენდერი'!Q:Q,"საკუთარი შემოსავლები",'[1]ელ. ტენდერი'!R:R,"350106"),0)</f>
        <v>0</v>
      </c>
      <c r="P172" s="25">
        <f>IF(G172="ელ. ტენდერი",SUMIFS('[1]ელ. ტენდერი'!N:N,'[1]ელ. ტენდერი'!G:G,'30.05.2018'!B172,'[1]ელ. ტენდერი'!Q:Q,"საკუთარი შემოსავლები",'[1]ელ. ტენდერი'!R:R,"3503030702"),0)</f>
        <v>0</v>
      </c>
      <c r="Q172" s="26">
        <f t="shared" si="4"/>
        <v>4000</v>
      </c>
    </row>
    <row r="173" spans="1:17" x14ac:dyDescent="0.25">
      <c r="A173" s="11">
        <v>31</v>
      </c>
      <c r="B173" s="72" t="s">
        <v>110</v>
      </c>
      <c r="C173" s="73" t="s">
        <v>25</v>
      </c>
      <c r="D173" s="31">
        <v>350106</v>
      </c>
      <c r="E173" s="74" t="s">
        <v>111</v>
      </c>
      <c r="F173" s="21">
        <v>2500</v>
      </c>
      <c r="G173" s="76" t="s">
        <v>27</v>
      </c>
      <c r="H173" s="77">
        <v>43101</v>
      </c>
      <c r="I173" s="77">
        <v>43465</v>
      </c>
      <c r="J173" s="79"/>
      <c r="K173" s="25">
        <f>IF(G173="გამ. შესყიდვა",SUMIFS('[1]გამარტივებული შესყიდვა'!L:L,'[1]გამარტივებული შესყიდვა'!K:K,B173,'[1]გამარტივებული შესყიდვა'!N:N,"საკუთარი შემოსავლები",'[1]გამარტივებული შესყიდვა'!O:O,"350106"),0)</f>
        <v>0</v>
      </c>
      <c r="L173" s="25">
        <f>IF(G173="გამ. შესყიდვა",SUMIFS('[1]გამარტივებული შესყიდვა'!L:L,'[1]გამარტივებული შესყიდვა'!K:K,B173,'[1]გამარტივებული შესყიდვა'!N:N,"საკუთარი შემოსავლები",'[1]გამარტივებული შესყიდვა'!O:O,"3503030702"),0)</f>
        <v>0</v>
      </c>
      <c r="M173" s="25">
        <f>IF(G173="კონს. ტენდერი",SUMIFS('[1]კონსოლიდირებული ტენდერი'!L:L,'[1]კონსოლიდირებული ტენდერი'!E:E,B173,'[1]კონსოლიდირებული ტენდერი'!N:N,"საკუთარი შემოსავლები",'[1]კონსოლიდირებული ტენდერი'!O:O,"350106"),0)</f>
        <v>0</v>
      </c>
      <c r="N173" s="25">
        <f>IF(G173="კონს. ტენდერი",SUMIFS('[1]კონსოლიდირებული ტენდერი'!L:L,'[1]კონსოლიდირებული ტენდერი'!E:E,B173,'[1]კონსოლიდირებული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3" s="25">
        <f>IF(G173="ელ. ტენდერი",SUMIFS('[1]ელ. ტენდერი'!N:N,'[1]ელ. ტენდერი'!G:G,'30.05.2018'!B173,'[1]ელ. ტენდერი'!Q:Q,"საკუთარი შემოსავლები",'[1]ელ. ტენდერი'!R:R,"350106"),0)</f>
        <v>0</v>
      </c>
      <c r="P173" s="25">
        <f>IF(G173="ელ. ტენდერი",SUMIFS('[1]ელ. ტენდერი'!N:N,'[1]ელ. ტენდერი'!G:G,'30.05.2018'!B173,'[1]ელ. ტენდერი'!Q:Q,"საკუთარი შემოსავლები",'[1]ელ. ტენდერი'!R:R,"3503030702"),0)</f>
        <v>0</v>
      </c>
      <c r="Q173" s="26">
        <f t="shared" si="4"/>
        <v>2500</v>
      </c>
    </row>
    <row r="174" spans="1:17" x14ac:dyDescent="0.25">
      <c r="A174" s="17">
        <v>32</v>
      </c>
      <c r="B174" s="81" t="s">
        <v>112</v>
      </c>
      <c r="C174" s="73" t="s">
        <v>25</v>
      </c>
      <c r="D174" s="31">
        <v>350106</v>
      </c>
      <c r="E174" s="74" t="s">
        <v>113</v>
      </c>
      <c r="F174" s="21">
        <f>1240+2010</f>
        <v>3250</v>
      </c>
      <c r="G174" s="76" t="s">
        <v>27</v>
      </c>
      <c r="H174" s="77">
        <v>43101</v>
      </c>
      <c r="I174" s="77">
        <v>43465</v>
      </c>
      <c r="J174" s="79"/>
      <c r="K174" s="25">
        <f>IF(G174="გამ. შესყიდვა",SUMIFS('[1]გამარტივებული შესყიდვა'!L:L,'[1]გამარტივებული შესყიდვა'!K:K,B174,'[1]გამარტივებული შესყიდვა'!N:N,"საკუთარი შემოსავლები",'[1]გამარტივებული შესყიდვა'!O:O,"350106"),0)</f>
        <v>0</v>
      </c>
      <c r="L174" s="25">
        <f>IF(G174="გამ. შესყიდვა",SUMIFS('[1]გამარტივებული შესყიდვა'!L:L,'[1]გამარტივებული შესყიდვა'!K:K,B174,'[1]გამარტივებული შესყიდვა'!N:N,"საკუთარი შემოსავლები",'[1]გამარტივებული შესყიდვა'!O:O,"3503030702"),0)</f>
        <v>0</v>
      </c>
      <c r="M174" s="25">
        <f>IF(G174="კონს. ტენდერი",SUMIFS('[1]კონსოლიდირებული ტენდერი'!L:L,'[1]კონსოლიდირებული ტენდერი'!E:E,B174,'[1]კონსოლიდირებული ტენდერი'!N:N,"საკუთარი შემოსავლები",'[1]კონსოლიდირებული ტენდერი'!O:O,"350106"),0)</f>
        <v>0</v>
      </c>
      <c r="N174" s="25">
        <f>IF(G174="კონს. ტენდერი",SUMIFS('[1]კონსოლიდირებული ტენდერი'!L:L,'[1]კონსოლიდირებული ტენდერი'!E:E,B174,'[1]კონსოლიდირებული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4" s="25">
        <f>IF(G174="ელ. ტენდერი",SUMIFS('[1]ელ. ტენდერი'!N:N,'[1]ელ. ტენდერი'!G:G,'30.05.2018'!B174,'[1]ელ. ტენდერი'!Q:Q,"საკუთარი შემოსავლები",'[1]ელ. ტენდერი'!R:R,"350106"),0)</f>
        <v>0</v>
      </c>
      <c r="P174" s="25">
        <f>IF(G174="ელ. ტენდერი",SUMIFS('[1]ელ. ტენდერი'!N:N,'[1]ელ. ტენდერი'!G:G,'30.05.2018'!B174,'[1]ელ. ტენდერი'!Q:Q,"საკუთარი შემოსავლები",'[1]ელ. ტენდერი'!R:R,"3503030702"),0)</f>
        <v>0</v>
      </c>
      <c r="Q174" s="26">
        <f t="shared" si="4"/>
        <v>3250</v>
      </c>
    </row>
    <row r="175" spans="1:17" x14ac:dyDescent="0.25">
      <c r="A175" s="11">
        <v>33</v>
      </c>
      <c r="B175" s="81" t="s">
        <v>114</v>
      </c>
      <c r="C175" s="73" t="s">
        <v>25</v>
      </c>
      <c r="D175" s="31">
        <v>350106</v>
      </c>
      <c r="E175" s="74" t="s">
        <v>115</v>
      </c>
      <c r="F175" s="21">
        <f>2600-2000</f>
        <v>600</v>
      </c>
      <c r="G175" s="76" t="s">
        <v>27</v>
      </c>
      <c r="H175" s="77">
        <v>43101</v>
      </c>
      <c r="I175" s="77">
        <v>43465</v>
      </c>
      <c r="J175" s="79"/>
      <c r="K175" s="25">
        <f>IF(G175="გამ. შესყიდვა",SUMIFS('[1]გამარტივებული შესყიდვა'!L:L,'[1]გამარტივებული შესყიდვა'!K:K,B175,'[1]გამარტივებული შესყიდვა'!N:N,"საკუთარი შემოსავლები",'[1]გამარტივებული შესყიდვა'!O:O,"350106"),0)</f>
        <v>0</v>
      </c>
      <c r="L175" s="25">
        <f>IF(G175="გამ. შესყიდვა",SUMIFS('[1]გამარტივებული შესყიდვა'!L:L,'[1]გამარტივებული შესყიდვა'!K:K,B175,'[1]გამარტივებული შესყიდვა'!N:N,"საკუთარი შემოსავლები",'[1]გამარტივებული შესყიდვა'!O:O,"3503030702"),0)</f>
        <v>0</v>
      </c>
      <c r="M175" s="25">
        <f>IF(G175="კონს. ტენდერი",SUMIFS('[1]კონსოლიდირებული ტენდერი'!L:L,'[1]კონსოლიდირებული ტენდერი'!E:E,B175,'[1]კონსოლიდირებული ტენდერი'!N:N,"საკუთარი შემოსავლები",'[1]კონსოლიდირებული ტენდერი'!O:O,"350106"),0)</f>
        <v>0</v>
      </c>
      <c r="N175" s="25">
        <f>IF(G175="კონს. ტენდერი",SUMIFS('[1]კონსოლიდირებული ტენდერი'!L:L,'[1]კონსოლიდირებული ტენდერი'!E:E,B175,'[1]კონსოლიდირებული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5" s="25">
        <f>IF(G175="ელ. ტენდერი",SUMIFS('[1]ელ. ტენდერი'!N:N,'[1]ელ. ტენდერი'!G:G,'30.05.2018'!B175,'[1]ელ. ტენდერი'!Q:Q,"საკუთარი შემოსავლები",'[1]ელ. ტენდერი'!R:R,"350106"),0)</f>
        <v>0</v>
      </c>
      <c r="P175" s="25">
        <f>IF(G175="ელ. ტენდერი",SUMIFS('[1]ელ. ტენდერი'!N:N,'[1]ელ. ტენდერი'!G:G,'30.05.2018'!B175,'[1]ელ. ტენდერი'!Q:Q,"საკუთარი შემოსავლები",'[1]ელ. ტენდერი'!R:R,"3503030702"),0)</f>
        <v>0</v>
      </c>
      <c r="Q175" s="26">
        <f t="shared" si="4"/>
        <v>600</v>
      </c>
    </row>
    <row r="176" spans="1:17" x14ac:dyDescent="0.25">
      <c r="A176" s="17">
        <v>34</v>
      </c>
      <c r="B176" s="72" t="s">
        <v>116</v>
      </c>
      <c r="C176" s="73" t="s">
        <v>25</v>
      </c>
      <c r="D176" s="19">
        <v>3503030702</v>
      </c>
      <c r="E176" s="86" t="s">
        <v>117</v>
      </c>
      <c r="F176" s="21">
        <v>1990</v>
      </c>
      <c r="G176" s="76" t="s">
        <v>27</v>
      </c>
      <c r="H176" s="77">
        <v>43101</v>
      </c>
      <c r="I176" s="77">
        <v>43465</v>
      </c>
      <c r="J176" s="79"/>
      <c r="K176" s="25">
        <f>IF(G176="გამ. შესყიდვა",SUMIFS('[1]გამარტივებული შესყიდვა'!L:L,'[1]გამარტივებული შესყიდვა'!K:K,B176,'[1]გამარტივებული შესყიდვა'!N:N,"საკუთარი შემოსავლები",'[1]გამარტივებული შესყიდვა'!O:O,"350106"),0)</f>
        <v>0</v>
      </c>
      <c r="L176" s="25">
        <f>IF(G176="გამ. შესყიდვა",SUMIFS('[1]გამარტივებული შესყიდვა'!L:L,'[1]გამარტივებული შესყიდვა'!K:K,B176,'[1]გამარტივებული შესყიდვა'!N:N,"საკუთარი შემოსავლები",'[1]გამარტივებული შესყიდვა'!O:O,"3503030702"),0)</f>
        <v>1840</v>
      </c>
      <c r="M176" s="25">
        <f>IF(G176="კონს. ტენდერი",SUMIFS('[1]კონსოლიდირებული ტენდერი'!L:L,'[1]კონსოლიდირებული ტენდერი'!E:E,B176,'[1]კონსოლიდირებული ტენდერი'!N:N,"საკუთარი შემოსავლები",'[1]კონსოლიდირებული ტენდერი'!O:O,"350106"),0)</f>
        <v>0</v>
      </c>
      <c r="N176" s="25">
        <f>IF(G176="კონს. ტენდერი",SUMIFS('[1]კონსოლიდირებული ტენდერი'!L:L,'[1]კონსოლიდირებული ტენდერი'!E:E,B176,'[1]კონსოლიდირებული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6" s="25">
        <f>IF(G176="ელ. ტენდერი",SUMIFS('[1]ელ. ტენდერი'!N:N,'[1]ელ. ტენდერი'!G:G,'30.05.2018'!B176,'[1]ელ. ტენდერი'!Q:Q,"საკუთარი შემოსავლები",'[1]ელ. ტენდერი'!R:R,"350106"),0)</f>
        <v>0</v>
      </c>
      <c r="P176" s="25">
        <f>IF(G176="ელ. ტენდერი",SUMIFS('[1]ელ. ტენდერი'!N:N,'[1]ელ. ტენდერი'!G:G,'30.05.2018'!B176,'[1]ელ. ტენდერი'!Q:Q,"საკუთარი შემოსავლები",'[1]ელ. ტენდერი'!R:R,"3503030702"),0)</f>
        <v>0</v>
      </c>
      <c r="Q176" s="26">
        <f t="shared" si="4"/>
        <v>150</v>
      </c>
    </row>
    <row r="177" spans="1:17" x14ac:dyDescent="0.25">
      <c r="A177" s="11">
        <v>35</v>
      </c>
      <c r="B177" s="72" t="s">
        <v>118</v>
      </c>
      <c r="C177" s="73" t="s">
        <v>25</v>
      </c>
      <c r="D177" s="31">
        <v>350106</v>
      </c>
      <c r="E177" s="74" t="s">
        <v>119</v>
      </c>
      <c r="F177" s="21">
        <v>1000</v>
      </c>
      <c r="G177" s="76" t="s">
        <v>27</v>
      </c>
      <c r="H177" s="77">
        <v>43101</v>
      </c>
      <c r="I177" s="77">
        <v>43465</v>
      </c>
      <c r="J177" s="79"/>
      <c r="K177" s="25">
        <f>IF(G177="გამ. შესყიდვა",SUMIFS('[1]გამარტივებული შესყიდვა'!L:L,'[1]გამარტივებული შესყიდვა'!K:K,B177,'[1]გამარტივებული შესყიდვა'!N:N,"საკუთარი შემოსავლები",'[1]გამარტივებული შესყიდვა'!O:O,"350106"),0)</f>
        <v>0</v>
      </c>
      <c r="L177" s="25">
        <f>IF(G177="გამ. შესყიდვა",SUMIFS('[1]გამარტივებული შესყიდვა'!L:L,'[1]გამარტივებული შესყიდვა'!K:K,B177,'[1]გამარტივებული შესყიდვა'!N:N,"საკუთარი შემოსავლები",'[1]გამარტივებული შესყიდვა'!O:O,"3503030702"),0)</f>
        <v>0</v>
      </c>
      <c r="M177" s="25">
        <f>IF(G177="კონს. ტენდერი",SUMIFS('[1]კონსოლიდირებული ტენდერი'!L:L,'[1]კონსოლიდირებული ტენდერი'!E:E,B177,'[1]კონსოლიდირებული ტენდერი'!N:N,"საკუთარი შემოსავლები",'[1]კონსოლიდირებული ტენდერი'!O:O,"350106"),0)</f>
        <v>0</v>
      </c>
      <c r="N177" s="25">
        <f>IF(G177="კონს. ტენდერი",SUMIFS('[1]კონსოლიდირებული ტენდერი'!L:L,'[1]კონსოლიდირებული ტენდერი'!E:E,B177,'[1]კონსოლიდირებული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7" s="25">
        <f>IF(G177="ელ. ტენდერი",SUMIFS('[1]ელ. ტენდერი'!N:N,'[1]ელ. ტენდერი'!G:G,'30.05.2018'!B177,'[1]ელ. ტენდერი'!Q:Q,"საკუთარი შემოსავლები",'[1]ელ. ტენდერი'!R:R,"350106"),0)</f>
        <v>0</v>
      </c>
      <c r="P177" s="25">
        <f>IF(G177="ელ. ტენდერი",SUMIFS('[1]ელ. ტენდერი'!N:N,'[1]ელ. ტენდერი'!G:G,'30.05.2018'!B177,'[1]ელ. ტენდერი'!Q:Q,"საკუთარი შემოსავლები",'[1]ელ. ტენდერი'!R:R,"3503030702"),0)</f>
        <v>0</v>
      </c>
      <c r="Q177" s="26">
        <f t="shared" si="4"/>
        <v>1000</v>
      </c>
    </row>
    <row r="178" spans="1:17" x14ac:dyDescent="0.25">
      <c r="A178" s="17">
        <v>36</v>
      </c>
      <c r="B178" s="72" t="s">
        <v>123</v>
      </c>
      <c r="C178" s="87" t="s">
        <v>67</v>
      </c>
      <c r="D178" s="31">
        <v>350106</v>
      </c>
      <c r="E178" s="20" t="s">
        <v>124</v>
      </c>
      <c r="F178" s="21">
        <v>4990</v>
      </c>
      <c r="G178" s="76" t="s">
        <v>27</v>
      </c>
      <c r="H178" s="77">
        <v>43168</v>
      </c>
      <c r="I178" s="77">
        <v>43465</v>
      </c>
      <c r="J178" s="79"/>
      <c r="K178" s="25">
        <f>IF(G178="გამ. შესყიდვა",SUMIFS('[1]გამარტივებული შესყიდვა'!L:L,'[1]გამარტივებული შესყიდვა'!K:K,B178,'[1]გამარტივებული შესყიდვა'!N:N,"საკუთარი შემოსავლები",'[1]გამარტივებული შესყიდვა'!O:O,"350106"),0)</f>
        <v>0</v>
      </c>
      <c r="L178" s="25">
        <f>IF(G178="გამ. შესყიდვა",SUMIFS('[1]გამარტივებული შესყიდვა'!L:L,'[1]გამარტივებული შესყიდვა'!K:K,B178,'[1]გამარტივებული შესყიდვა'!N:N,"საკუთარი შემოსავლები",'[1]გამარტივებული შესყიდვა'!O:O,"3503030702"),0)</f>
        <v>720</v>
      </c>
      <c r="M178" s="25">
        <f>IF(G178="კონს. ტენდერი",SUMIFS('[1]კონსოლიდირებული ტენდერი'!L:L,'[1]კონსოლიდირებული ტენდერი'!E:E,B178,'[1]კონსოლიდირებული ტენდერი'!N:N,"საკუთარი შემოსავლები",'[1]კონსოლიდირებული ტენდერი'!O:O,"350106"),0)</f>
        <v>0</v>
      </c>
      <c r="N178" s="25">
        <f>IF(G178="კონს. ტენდერი",SUMIFS('[1]კონსოლიდირებული ტენდერი'!L:L,'[1]კონსოლიდირებული ტენდერი'!E:E,B178,'[1]კონსოლიდირებული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8" s="25">
        <f>IF(G178="ელ. ტენდერი",SUMIFS('[1]ელ. ტენდერი'!N:N,'[1]ელ. ტენდერი'!G:G,'30.05.2018'!B178,'[1]ელ. ტენდერი'!Q:Q,"საკუთარი შემოსავლები",'[1]ელ. ტენდერი'!R:R,"350106"),0)</f>
        <v>0</v>
      </c>
      <c r="P178" s="25">
        <f>IF(G178="ელ. ტენდერი",SUMIFS('[1]ელ. ტენდერი'!N:N,'[1]ელ. ტენდერი'!G:G,'30.05.2018'!B178,'[1]ელ. ტენდერი'!Q:Q,"საკუთარი შემოსავლები",'[1]ელ. ტენდერი'!R:R,"3503030702"),0)</f>
        <v>0</v>
      </c>
      <c r="Q178" s="26">
        <f t="shared" si="4"/>
        <v>4270</v>
      </c>
    </row>
    <row r="179" spans="1:17" x14ac:dyDescent="0.25">
      <c r="A179" s="11">
        <v>37</v>
      </c>
      <c r="B179" s="72" t="s">
        <v>125</v>
      </c>
      <c r="C179" s="73" t="s">
        <v>25</v>
      </c>
      <c r="D179" s="31">
        <v>350106</v>
      </c>
      <c r="E179" s="74" t="s">
        <v>126</v>
      </c>
      <c r="F179" s="21">
        <f>4990-2000</f>
        <v>2990</v>
      </c>
      <c r="G179" s="76" t="s">
        <v>236</v>
      </c>
      <c r="H179" s="77">
        <v>43101</v>
      </c>
      <c r="I179" s="77">
        <v>43465</v>
      </c>
      <c r="J179" s="79"/>
      <c r="K179" s="25">
        <f>IF(G179="გამ. შესყიდვა",SUMIFS('[1]გამარტივებული შესყიდვა'!L:L,'[1]გამარტივებული შესყიდვა'!K:K,B179,'[1]გამარტივებული შესყიდვა'!N:N,"საკუთარი შემოსავლები",'[1]გამარტივებული შესყიდვა'!O:O,"350106"),0)</f>
        <v>0</v>
      </c>
      <c r="L179" s="25">
        <f>IF(G179="გამ. შესყიდვა",SUMIFS('[1]გამარტივებული შესყიდვა'!L:L,'[1]გამარტივებული შესყიდვა'!K:K,B179,'[1]გამარტივებული შესყიდვა'!N:N,"საკუთარი შემოსავლები",'[1]გამარტივებული შესყიდვა'!O:O,"3503030702"),0)</f>
        <v>0</v>
      </c>
      <c r="M179" s="25">
        <f>IF(G179="კონს. ტენდერი",SUMIFS('[1]კონსოლიდირებული ტენდერი'!L:L,'[1]კონსოლიდირებული ტენდერი'!E:E,B179,'[1]კონსოლიდირებული ტენდერი'!N:N,"საკუთარი შემოსავლები",'[1]კონსოლიდირებული ტენდერი'!O:O,"350106"),0)</f>
        <v>0</v>
      </c>
      <c r="N179" s="25">
        <f>IF(G179="კონს. ტენდერი",SUMIFS('[1]კონსოლიდირებული ტენდერი'!L:L,'[1]კონსოლიდირებული ტენდერი'!E:E,B179,'[1]კონსოლიდირებული ტენდერი'!N:N,"საკუთარი შემოსავლები",'[1]კონსოლიდირებული ტენდერი'!O:O,"3503030702"),0)</f>
        <v>0</v>
      </c>
      <c r="O179" s="25">
        <f>IF(G179="ელ. ტენდერი",SUMIFS('[1]ელ. ტენდერი'!N:N,'[1]ელ. ტენდერი'!G:G,'30.05.2018'!B179,'[1]ელ. ტენდერი'!Q:Q,"საკუთარი შემოსავლები",'[1]ელ. ტენდერი'!R:R,"350106"),0)</f>
        <v>0</v>
      </c>
      <c r="P179" s="25">
        <f>IF(G179="ელ. ტენდერი",SUMIFS('[1]ელ. ტენდერი'!N:N,'[1]ელ. ტენდერი'!G:G,'30.05.2018'!B179,'[1]ელ. ტენდერი'!Q:Q,"საკუთარი შემოსავლები",'[1]ელ. ტენდერი'!R:R,"3503030702"),0)</f>
        <v>0</v>
      </c>
      <c r="Q179" s="26">
        <f t="shared" si="4"/>
        <v>2990</v>
      </c>
    </row>
    <row r="180" spans="1:17" x14ac:dyDescent="0.25">
      <c r="A180" s="17">
        <v>38</v>
      </c>
      <c r="B180" s="72" t="s">
        <v>127</v>
      </c>
      <c r="C180" s="73" t="s">
        <v>25</v>
      </c>
      <c r="D180" s="31">
        <v>350106</v>
      </c>
      <c r="E180" s="74" t="s">
        <v>128</v>
      </c>
      <c r="F180" s="21">
        <f>4990-2000-1000</f>
        <v>1990</v>
      </c>
      <c r="G180" s="76" t="s">
        <v>27</v>
      </c>
      <c r="H180" s="77">
        <v>43101</v>
      </c>
      <c r="I180" s="77">
        <v>43465</v>
      </c>
      <c r="J180" s="79"/>
      <c r="K180" s="25">
        <f>IF(G180="გამ. შესყიდვა",SUMIFS('[1]გამარტივებული შესყიდვა'!L:L,'[1]გამარტივებული შესყიდვა'!K:K,B180,'[1]გამარტივებული შესყიდვა'!N:N,"საკუთარი შემოსავლები",'[1]გამარტივებული შესყიდვა'!O:O,"350106"),0)</f>
        <v>0</v>
      </c>
      <c r="L180" s="25">
        <f>IF(G180="გამ. შესყიდვა",SUMIFS('[1]გამარტივებული შესყიდვა'!L:L,'[1]გამარტივებული შესყიდვა'!K:K,B180,'[1]გამარტივებული შესყიდვა'!N:N,"საკუთარი შემოსავლები",'[1]გამარტივებული შესყიდვა'!O:O,"3503030702"),0)</f>
        <v>116.5</v>
      </c>
      <c r="M180" s="25">
        <f>IF(G180="კონს. ტენდერი",SUMIFS('[1]კონსოლიდირებული ტენდერი'!L:L,'[1]კონსოლიდირებული ტენდერი'!E:E,B180,'[1]კონსოლიდირებული ტენდერი'!N:N,"საკუთარი შემოსავლები",'[1]კონსოლიდირებული ტენდერი'!O:O,"350106"),0)</f>
        <v>0</v>
      </c>
      <c r="N180" s="25">
        <f>IF(G180="კონს. ტენდერი",SUMIFS('[1]კონსოლიდირებული ტენდერი'!L:L,'[1]კონსოლიდირებული ტენდერი'!E:E,B180,'[1]კონსოლიდირებული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0" s="25">
        <f>IF(G180="ელ. ტენდერი",SUMIFS('[1]ელ. ტენდერი'!N:N,'[1]ელ. ტენდერი'!G:G,'30.05.2018'!B180,'[1]ელ. ტენდერი'!Q:Q,"საკუთარი შემოსავლები",'[1]ელ. ტენდერი'!R:R,"350106"),0)</f>
        <v>0</v>
      </c>
      <c r="P180" s="25">
        <f>IF(G180="ელ. ტენდერი",SUMIFS('[1]ელ. ტენდერი'!N:N,'[1]ელ. ტენდერი'!G:G,'30.05.2018'!B180,'[1]ელ. ტენდერი'!Q:Q,"საკუთარი შემოსავლები",'[1]ელ. ტენდერი'!R:R,"3503030702"),0)</f>
        <v>0</v>
      </c>
      <c r="Q180" s="26">
        <f t="shared" si="4"/>
        <v>1873.5</v>
      </c>
    </row>
    <row r="181" spans="1:17" x14ac:dyDescent="0.25">
      <c r="A181" s="11">
        <v>39</v>
      </c>
      <c r="B181" s="72" t="s">
        <v>129</v>
      </c>
      <c r="C181" s="87" t="s">
        <v>67</v>
      </c>
      <c r="D181" s="31">
        <v>350106</v>
      </c>
      <c r="E181" s="74" t="s">
        <v>237</v>
      </c>
      <c r="F181" s="21">
        <v>1990</v>
      </c>
      <c r="G181" s="76" t="s">
        <v>27</v>
      </c>
      <c r="H181" s="77">
        <v>43101</v>
      </c>
      <c r="I181" s="77">
        <v>43465</v>
      </c>
      <c r="J181" s="79"/>
      <c r="K181" s="25">
        <f>IF(G181="გამ. შესყიდვა",SUMIFS('[1]გამარტივებული შესყიდვა'!L:L,'[1]გამარტივებული შესყიდვა'!K:K,B181,'[1]გამარტივებული შესყიდვა'!N:N,"საკუთარი შემოსავლები",'[1]გამარტივებული შესყიდვა'!O:O,"350106"),0)</f>
        <v>0</v>
      </c>
      <c r="L181" s="25">
        <f>IF(G181="გამ. შესყიდვა",SUMIFS('[1]გამარტივებული შესყიდვა'!L:L,'[1]გამარტივებული შესყიდვა'!K:K,B181,'[1]გამარტივებული შესყიდვა'!N:N,"საკუთარი შემოსავლები",'[1]გამარტივებული შესყიდვა'!O:O,"3503030702"),0)</f>
        <v>0</v>
      </c>
      <c r="M181" s="25">
        <f>IF(G181="კონს. ტენდერი",SUMIFS('[1]კონსოლიდირებული ტენდერი'!L:L,'[1]კონსოლიდირებული ტენდერი'!E:E,B181,'[1]კონსოლიდირებული ტენდერი'!N:N,"საკუთარი შემოსავლები",'[1]კონსოლიდირებული ტენდერი'!O:O,"350106"),0)</f>
        <v>0</v>
      </c>
      <c r="N181" s="25">
        <f>IF(G181="კონს. ტენდერი",SUMIFS('[1]კონსოლიდირებული ტენდერი'!L:L,'[1]კონსოლიდირებული ტენდერი'!E:E,B181,'[1]კონსოლიდირებული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1" s="25">
        <f>IF(G181="ელ. ტენდერი",SUMIFS('[1]ელ. ტენდერი'!N:N,'[1]ელ. ტენდერი'!G:G,'30.05.2018'!B181,'[1]ელ. ტენდერი'!Q:Q,"საკუთარი შემოსავლები",'[1]ელ. ტენდერი'!R:R,"350106"),0)</f>
        <v>0</v>
      </c>
      <c r="P181" s="25">
        <f>IF(G181="ელ. ტენდერი",SUMIFS('[1]ელ. ტენდერი'!N:N,'[1]ელ. ტენდერი'!G:G,'30.05.2018'!B181,'[1]ელ. ტენდერი'!Q:Q,"საკუთარი შემოსავლები",'[1]ელ. ტენდერი'!R:R,"3503030702"),0)</f>
        <v>0</v>
      </c>
      <c r="Q181" s="26">
        <f t="shared" si="4"/>
        <v>1990</v>
      </c>
    </row>
    <row r="182" spans="1:17" x14ac:dyDescent="0.25">
      <c r="A182" s="17">
        <v>40</v>
      </c>
      <c r="B182" s="72" t="s">
        <v>129</v>
      </c>
      <c r="C182" s="73" t="s">
        <v>25</v>
      </c>
      <c r="D182" s="31">
        <v>350106</v>
      </c>
      <c r="E182" s="74" t="s">
        <v>237</v>
      </c>
      <c r="F182" s="21">
        <v>3000</v>
      </c>
      <c r="G182" s="76" t="s">
        <v>27</v>
      </c>
      <c r="H182" s="77">
        <v>43101</v>
      </c>
      <c r="I182" s="77">
        <v>43465</v>
      </c>
      <c r="J182" s="88"/>
      <c r="K182" s="25">
        <f>IF(G182="გამ. შესყიდვა",SUMIFS('[1]გამარტივებული შესყიდვა'!L:L,'[1]გამარტივებული შესყიდვა'!K:K,B182,'[1]გამარტივებული შესყიდვა'!N:N,"საკუთარი შემოსავლები",'[1]გამარტივებული შესყიდვა'!O:O,"350106"),0)</f>
        <v>0</v>
      </c>
      <c r="L182" s="25">
        <f>IF(G182="გამ. შესყიდვა",SUMIFS('[1]გამარტივებული შესყიდვა'!L:L,'[1]გამარტივებული შესყიდვა'!K:K,B182,'[1]გამარტივებული შესყიდვა'!N:N,"საკუთარი შემოსავლები",'[1]გამარტივებული შესყიდვა'!O:O,"3503030702"),0)</f>
        <v>0</v>
      </c>
      <c r="M182" s="25">
        <f>IF(G182="კონს. ტენდერი",SUMIFS('[1]კონსოლიდირებული ტენდერი'!L:L,'[1]კონსოლიდირებული ტენდერი'!E:E,B182,'[1]კონსოლიდირებული ტენდერი'!N:N,"საკუთარი შემოსავლები",'[1]კონსოლიდირებული ტენდერი'!O:O,"350106"),0)</f>
        <v>0</v>
      </c>
      <c r="N182" s="25">
        <f>IF(G182="კონს. ტენდერი",SUMIFS('[1]კონსოლიდირებული ტენდერი'!L:L,'[1]კონსოლიდირებული ტენდერი'!E:E,B182,'[1]კონსოლიდირებული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2" s="25">
        <f>IF(G182="ელ. ტენდერი",SUMIFS('[1]ელ. ტენდერი'!N:N,'[1]ელ. ტენდერი'!G:G,'30.05.2018'!B182,'[1]ელ. ტენდერი'!Q:Q,"საკუთარი შემოსავლები",'[1]ელ. ტენდერი'!R:R,"350106"),0)</f>
        <v>0</v>
      </c>
      <c r="P182" s="25">
        <f>IF(G182="ელ. ტენდერი",SUMIFS('[1]ელ. ტენდერი'!N:N,'[1]ელ. ტენდერი'!G:G,'30.05.2018'!B182,'[1]ელ. ტენდერი'!Q:Q,"საკუთარი შემოსავლები",'[1]ელ. ტენდერი'!R:R,"3503030702"),0)</f>
        <v>0</v>
      </c>
      <c r="Q182" s="26">
        <f t="shared" si="4"/>
        <v>3000</v>
      </c>
    </row>
    <row r="183" spans="1:17" x14ac:dyDescent="0.25">
      <c r="A183" s="11">
        <v>41</v>
      </c>
      <c r="B183" s="72" t="s">
        <v>135</v>
      </c>
      <c r="C183" s="73" t="s">
        <v>25</v>
      </c>
      <c r="D183" s="31">
        <v>350106</v>
      </c>
      <c r="E183" s="74" t="s">
        <v>136</v>
      </c>
      <c r="F183" s="21">
        <v>1000</v>
      </c>
      <c r="G183" s="76" t="s">
        <v>27</v>
      </c>
      <c r="H183" s="77">
        <v>43101</v>
      </c>
      <c r="I183" s="77">
        <v>43465</v>
      </c>
      <c r="J183" s="79"/>
      <c r="K183" s="25">
        <f>IF(G183="გამ. შესყიდვა",SUMIFS('[1]გამარტივებული შესყიდვა'!L:L,'[1]გამარტივებული შესყიდვა'!K:K,B183,'[1]გამარტივებული შესყიდვა'!N:N,"საკუთარი შემოსავლები",'[1]გამარტივებული შესყიდვა'!O:O,"350106"),0)</f>
        <v>0</v>
      </c>
      <c r="L183" s="25">
        <f>IF(G183="გამ. შესყიდვა",SUMIFS('[1]გამარტივებული შესყიდვა'!L:L,'[1]გამარტივებული შესყიდვა'!K:K,B183,'[1]გამარტივებული შესყიდვა'!N:N,"საკუთარი შემოსავლები",'[1]გამარტივებული შესყიდვა'!O:O,"3503030702"),0)</f>
        <v>0</v>
      </c>
      <c r="M183" s="25">
        <f>IF(G183="კონს. ტენდერი",SUMIFS('[1]კონსოლიდირებული ტენდერი'!L:L,'[1]კონსოლიდირებული ტენდერი'!E:E,B183,'[1]კონსოლიდირებული ტენდერი'!N:N,"საკუთარი შემოსავლები",'[1]კონსოლიდირებული ტენდერი'!O:O,"350106"),0)</f>
        <v>0</v>
      </c>
      <c r="N183" s="25">
        <f>IF(G183="კონს. ტენდერი",SUMIFS('[1]კონსოლიდირებული ტენდერი'!L:L,'[1]კონსოლიდირებული ტენდერი'!E:E,B183,'[1]კონსოლიდირებული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3" s="25">
        <f>IF(G183="ელ. ტენდერი",SUMIFS('[1]ელ. ტენდერი'!N:N,'[1]ელ. ტენდერი'!G:G,'30.05.2018'!B183,'[1]ელ. ტენდერი'!Q:Q,"საკუთარი შემოსავლები",'[1]ელ. ტენდერი'!R:R,"350106"),0)</f>
        <v>0</v>
      </c>
      <c r="P183" s="25">
        <f>IF(G183="ელ. ტენდერი",SUMIFS('[1]ელ. ტენდერი'!N:N,'[1]ელ. ტენდერი'!G:G,'30.05.2018'!B183,'[1]ელ. ტენდერი'!Q:Q,"საკუთარი შემოსავლები",'[1]ელ. ტენდერი'!R:R,"3503030702"),0)</f>
        <v>0</v>
      </c>
      <c r="Q183" s="26">
        <f t="shared" si="4"/>
        <v>1000</v>
      </c>
    </row>
    <row r="184" spans="1:17" x14ac:dyDescent="0.25">
      <c r="A184" s="17">
        <v>42</v>
      </c>
      <c r="B184" s="72" t="s">
        <v>135</v>
      </c>
      <c r="C184" s="73" t="s">
        <v>25</v>
      </c>
      <c r="D184" s="19">
        <v>3503030702</v>
      </c>
      <c r="E184" s="74" t="s">
        <v>136</v>
      </c>
      <c r="F184" s="21">
        <f>3990-2000</f>
        <v>1990</v>
      </c>
      <c r="G184" s="76" t="s">
        <v>27</v>
      </c>
      <c r="H184" s="77">
        <v>43101</v>
      </c>
      <c r="I184" s="77">
        <v>43465</v>
      </c>
      <c r="J184" s="79"/>
      <c r="K184" s="25">
        <f>IF(G184="გამ. შესყიდვა",SUMIFS('[1]გამარტივებული შესყიდვა'!L:L,'[1]გამარტივებული შესყიდვა'!K:K,B184,'[1]გამარტივებული შესყიდვა'!N:N,"საკუთარი შემოსავლები",'[1]გამარტივებული შესყიდვა'!O:O,"350106"),0)</f>
        <v>0</v>
      </c>
      <c r="L184" s="25">
        <f>IF(G184="გამ. შესყიდვა",SUMIFS('[1]გამარტივებული შესყიდვა'!L:L,'[1]გამარტივებული შესყიდვა'!K:K,B184,'[1]გამარტივებული შესყიდვა'!N:N,"საკუთარი შემოსავლები",'[1]გამარტივებული შესყიდვა'!O:O,"3503030702"),0)</f>
        <v>0</v>
      </c>
      <c r="M184" s="25">
        <f>IF(G184="კონს. ტენდერი",SUMIFS('[1]კონსოლიდირებული ტენდერი'!L:L,'[1]კონსოლიდირებული ტენდერი'!E:E,B184,'[1]კონსოლიდირებული ტენდერი'!N:N,"საკუთარი შემოსავლები",'[1]კონსოლიდირებული ტენდერი'!O:O,"350106"),0)</f>
        <v>0</v>
      </c>
      <c r="N184" s="25">
        <f>IF(G184="კონს. ტენდერი",SUMIFS('[1]კონსოლიდირებული ტენდერი'!L:L,'[1]კონსოლიდირებული ტენდერი'!E:E,B184,'[1]კონსოლიდირებული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4" s="25">
        <f>IF(G184="ელ. ტენდერი",SUMIFS('[1]ელ. ტენდერი'!N:N,'[1]ელ. ტენდერი'!G:G,'30.05.2018'!B184,'[1]ელ. ტენდერი'!Q:Q,"საკუთარი შემოსავლები",'[1]ელ. ტენდერი'!R:R,"350106"),0)</f>
        <v>0</v>
      </c>
      <c r="P184" s="25">
        <f>IF(G184="ელ. ტენდერი",SUMIFS('[1]ელ. ტენდერი'!N:N,'[1]ელ. ტენდერი'!G:G,'30.05.2018'!B184,'[1]ელ. ტენდერი'!Q:Q,"საკუთარი შემოსავლები",'[1]ელ. ტენდერი'!R:R,"3503030702"),0)</f>
        <v>0</v>
      </c>
      <c r="Q184" s="26">
        <f t="shared" si="4"/>
        <v>1990</v>
      </c>
    </row>
    <row r="185" spans="1:17" x14ac:dyDescent="0.25">
      <c r="A185" s="11">
        <v>43</v>
      </c>
      <c r="B185" s="72" t="s">
        <v>137</v>
      </c>
      <c r="C185" s="73" t="s">
        <v>25</v>
      </c>
      <c r="D185" s="31">
        <v>350106</v>
      </c>
      <c r="E185" s="74" t="s">
        <v>238</v>
      </c>
      <c r="F185" s="21">
        <v>1000</v>
      </c>
      <c r="G185" s="76" t="s">
        <v>27</v>
      </c>
      <c r="H185" s="77">
        <v>43101</v>
      </c>
      <c r="I185" s="77">
        <v>43465</v>
      </c>
      <c r="J185" s="79"/>
      <c r="K185" s="25">
        <f>IF(G185="გამ. შესყიდვა",SUMIFS('[1]გამარტივებული შესყიდვა'!L:L,'[1]გამარტივებული შესყიდვა'!K:K,B185,'[1]გამარტივებული შესყიდვა'!N:N,"საკუთარი შემოსავლები",'[1]გამარტივებული შესყიდვა'!O:O,"350106"),0)</f>
        <v>0</v>
      </c>
      <c r="L185" s="25">
        <f>IF(G185="გამ. შესყიდვა",SUMIFS('[1]გამარტივებული შესყიდვა'!L:L,'[1]გამარტივებული შესყიდვა'!K:K,B185,'[1]გამარტივებული შესყიდვა'!N:N,"საკუთარი შემოსავლები",'[1]გამარტივებული შესყიდვა'!O:O,"3503030702"),0)</f>
        <v>0</v>
      </c>
      <c r="M185" s="25">
        <f>IF(G185="კონს. ტენდერი",SUMIFS('[1]კონსოლიდირებული ტენდერი'!L:L,'[1]კონსოლიდირებული ტენდერი'!E:E,B185,'[1]კონსოლიდირებული ტენდერი'!N:N,"საკუთარი შემოსავლები",'[1]კონსოლიდირებული ტენდერი'!O:O,"350106"),0)</f>
        <v>0</v>
      </c>
      <c r="N185" s="25">
        <f>IF(G185="კონს. ტენდერი",SUMIFS('[1]კონსოლიდირებული ტენდერი'!L:L,'[1]კონსოლიდირებული ტენდერი'!E:E,B185,'[1]კონსოლიდირებული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5" s="25">
        <f>IF(G185="ელ. ტენდერი",SUMIFS('[1]ელ. ტენდერი'!N:N,'[1]ელ. ტენდერი'!G:G,'30.05.2018'!B185,'[1]ელ. ტენდერი'!Q:Q,"საკუთარი შემოსავლები",'[1]ელ. ტენდერი'!R:R,"350106"),0)</f>
        <v>0</v>
      </c>
      <c r="P185" s="25">
        <f>IF(G185="ელ. ტენდერი",SUMIFS('[1]ელ. ტენდერი'!N:N,'[1]ელ. ტენდერი'!G:G,'30.05.2018'!B185,'[1]ელ. ტენდერი'!Q:Q,"საკუთარი შემოსავლები",'[1]ელ. ტენდერი'!R:R,"3503030702"),0)</f>
        <v>0</v>
      </c>
      <c r="Q185" s="26">
        <f t="shared" si="4"/>
        <v>1000</v>
      </c>
    </row>
    <row r="186" spans="1:17" x14ac:dyDescent="0.25">
      <c r="A186" s="17">
        <v>44</v>
      </c>
      <c r="B186" s="72" t="s">
        <v>137</v>
      </c>
      <c r="C186" s="73" t="s">
        <v>25</v>
      </c>
      <c r="D186" s="31">
        <v>350106</v>
      </c>
      <c r="E186" s="74" t="s">
        <v>238</v>
      </c>
      <c r="F186" s="21">
        <f>3990-1500</f>
        <v>2490</v>
      </c>
      <c r="G186" s="76" t="s">
        <v>27</v>
      </c>
      <c r="H186" s="77">
        <v>43101</v>
      </c>
      <c r="I186" s="77">
        <v>43465</v>
      </c>
      <c r="J186" s="79"/>
      <c r="K186" s="25">
        <f>IF(G186="გამ. შესყიდვა",SUMIFS('[1]გამარტივებული შესყიდვა'!L:L,'[1]გამარტივებული შესყიდვა'!K:K,B186,'[1]გამარტივებული შესყიდვა'!N:N,"საკუთარი შემოსავლები",'[1]გამარტივებული შესყიდვა'!O:O,"350106"),0)</f>
        <v>0</v>
      </c>
      <c r="L186" s="25">
        <f>IF(G186="გამ. შესყიდვა",SUMIFS('[1]გამარტივებული შესყიდვა'!L:L,'[1]გამარტივებული შესყიდვა'!K:K,B186,'[1]გამარტივებული შესყიდვა'!N:N,"საკუთარი შემოსავლები",'[1]გამარტივებული შესყიდვა'!O:O,"3503030702"),0)</f>
        <v>0</v>
      </c>
      <c r="M186" s="25">
        <f>IF(G186="კონს. ტენდერი",SUMIFS('[1]კონსოლიდირებული ტენდერი'!L:L,'[1]კონსოლიდირებული ტენდერი'!E:E,B186,'[1]კონსოლიდირებული ტენდერი'!N:N,"საკუთარი შემოსავლები",'[1]კონსოლიდირებული ტენდერი'!O:O,"350106"),0)</f>
        <v>0</v>
      </c>
      <c r="N186" s="25">
        <f>IF(G186="კონს. ტენდერი",SUMIFS('[1]კონსოლიდირებული ტენდერი'!L:L,'[1]კონსოლიდირებული ტენდერი'!E:E,B186,'[1]კონსოლიდირებული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6" s="25">
        <f>IF(G186="ელ. ტენდერი",SUMIFS('[1]ელ. ტენდერი'!N:N,'[1]ელ. ტენდერი'!G:G,'30.05.2018'!B186,'[1]ელ. ტენდერი'!Q:Q,"საკუთარი შემოსავლები",'[1]ელ. ტენდერი'!R:R,"350106"),0)</f>
        <v>0</v>
      </c>
      <c r="P186" s="25">
        <f>IF(G186="ელ. ტენდერი",SUMIFS('[1]ელ. ტენდერი'!N:N,'[1]ელ. ტენდერი'!G:G,'30.05.2018'!B186,'[1]ელ. ტენდერი'!Q:Q,"საკუთარი შემოსავლები",'[1]ელ. ტენდერი'!R:R,"3503030702"),0)</f>
        <v>0</v>
      </c>
      <c r="Q186" s="26">
        <f t="shared" si="4"/>
        <v>2490</v>
      </c>
    </row>
    <row r="187" spans="1:17" x14ac:dyDescent="0.25">
      <c r="A187" s="11">
        <v>45</v>
      </c>
      <c r="B187" s="81" t="s">
        <v>139</v>
      </c>
      <c r="C187" s="18" t="s">
        <v>25</v>
      </c>
      <c r="D187" s="19">
        <v>3503030702</v>
      </c>
      <c r="E187" s="20" t="s">
        <v>140</v>
      </c>
      <c r="F187" s="21">
        <v>1400</v>
      </c>
      <c r="G187" s="76" t="s">
        <v>27</v>
      </c>
      <c r="H187" s="77">
        <v>43168</v>
      </c>
      <c r="I187" s="77">
        <v>43465</v>
      </c>
      <c r="J187" s="79"/>
      <c r="K187" s="25">
        <f>IF(G187="გამ. შესყიდვა",SUMIFS('[1]გამარტივებული შესყიდვა'!L:L,'[1]გამარტივებული შესყიდვა'!K:K,B187,'[1]გამარტივებული შესყიდვა'!N:N,"საკუთარი შემოსავლები",'[1]გამარტივებული შესყიდვა'!O:O,"350106"),0)</f>
        <v>0</v>
      </c>
      <c r="L187" s="25">
        <f>IF(G187="გამ. შესყიდვა",SUMIFS('[1]გამარტივებული შესყიდვა'!L:L,'[1]გამარტივებული შესყიდვა'!K:K,B187,'[1]გამარტივებული შესყიდვა'!N:N,"საკუთარი შემოსავლები",'[1]გამარტივებული შესყიდვა'!O:O,"3503030702"),0)</f>
        <v>530</v>
      </c>
      <c r="M187" s="25">
        <f>IF(G187="კონს. ტენდერი",SUMIFS('[1]კონსოლიდირებული ტენდერი'!L:L,'[1]კონსოლიდირებული ტენდერი'!E:E,B187,'[1]კონსოლიდირებული ტენდერი'!N:N,"საკუთარი შემოსავლები",'[1]კონსოლიდირებული ტენდერი'!O:O,"350106"),0)</f>
        <v>0</v>
      </c>
      <c r="N187" s="25">
        <f>IF(G187="კონს. ტენდერი",SUMIFS('[1]კონსოლიდირებული ტენდერი'!L:L,'[1]კონსოლიდირებული ტენდერი'!E:E,B187,'[1]კონსოლიდირებული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7" s="25">
        <f>IF(G187="ელ. ტენდერი",SUMIFS('[1]ელ. ტენდერი'!N:N,'[1]ელ. ტენდერი'!G:G,'30.05.2018'!B187,'[1]ელ. ტენდერი'!Q:Q,"საკუთარი შემოსავლები",'[1]ელ. ტენდერი'!R:R,"350106"),0)</f>
        <v>0</v>
      </c>
      <c r="P187" s="25">
        <f>IF(G187="ელ. ტენდერი",SUMIFS('[1]ელ. ტენდერი'!N:N,'[1]ელ. ტენდერი'!G:G,'30.05.2018'!B187,'[1]ელ. ტენდერი'!Q:Q,"საკუთარი შემოსავლები",'[1]ელ. ტენდერი'!R:R,"3503030702"),0)</f>
        <v>0</v>
      </c>
      <c r="Q187" s="26">
        <f t="shared" si="4"/>
        <v>870</v>
      </c>
    </row>
    <row r="188" spans="1:17" x14ac:dyDescent="0.25">
      <c r="A188" s="17">
        <v>46</v>
      </c>
      <c r="B188" s="81" t="s">
        <v>141</v>
      </c>
      <c r="C188" s="18" t="s">
        <v>25</v>
      </c>
      <c r="D188" s="19">
        <v>3503030702</v>
      </c>
      <c r="E188" s="20" t="s">
        <v>142</v>
      </c>
      <c r="F188" s="21">
        <v>600</v>
      </c>
      <c r="G188" s="76" t="s">
        <v>27</v>
      </c>
      <c r="H188" s="77">
        <v>43188</v>
      </c>
      <c r="I188" s="77">
        <v>43465</v>
      </c>
      <c r="J188" s="79"/>
      <c r="K188" s="25">
        <f>IF(G188="გამ. შესყიდვა",SUMIFS('[1]გამარტივებული შესყიდვა'!L:L,'[1]გამარტივებული შესყიდვა'!K:K,B188,'[1]გამარტივებული შესყიდვა'!N:N,"საკუთარი შემოსავლები",'[1]გამარტივებული შესყიდვა'!O:O,"350106"),0)</f>
        <v>400</v>
      </c>
      <c r="L188" s="25">
        <f>IF(G188="გამ. შესყიდვა",SUMIFS('[1]გამარტივებული შესყიდვა'!L:L,'[1]გამარტივებული შესყიდვა'!K:K,B188,'[1]გამარტივებული შესყიდვა'!N:N,"საკუთარი შემოსავლები",'[1]გამარტივებული შესყიდვა'!O:O,"3503030702"),0)</f>
        <v>375</v>
      </c>
      <c r="M188" s="25">
        <f>IF(G188="კონს. ტენდერი",SUMIFS('[1]კონსოლიდირებული ტენდერი'!L:L,'[1]კონსოლიდირებული ტენდერი'!E:E,B188,'[1]კონსოლიდირებული ტენდერი'!N:N,"საკუთარი შემოსავლები",'[1]კონსოლიდირებული ტენდერი'!O:O,"350106"),0)</f>
        <v>0</v>
      </c>
      <c r="N188" s="25">
        <f>IF(G188="კონს. ტენდერი",SUMIFS('[1]კონსოლიდირებული ტენდერი'!L:L,'[1]კონსოლიდირებული ტენდერი'!E:E,B188,'[1]კონსოლიდირებული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8" s="25">
        <f>IF(G188="ელ. ტენდერი",SUMIFS('[1]ელ. ტენდერი'!N:N,'[1]ელ. ტენდერი'!G:G,'30.05.2018'!B188,'[1]ელ. ტენდერი'!Q:Q,"საკუთარი შემოსავლები",'[1]ელ. ტენდერი'!R:R,"350106"),0)</f>
        <v>0</v>
      </c>
      <c r="P188" s="25">
        <f>IF(G188="ელ. ტენდერი",SUMIFS('[1]ელ. ტენდერი'!N:N,'[1]ელ. ტენდერი'!G:G,'30.05.2018'!B188,'[1]ელ. ტენდერი'!Q:Q,"საკუთარი შემოსავლები",'[1]ელ. ტენდერი'!R:R,"3503030702"),0)</f>
        <v>0</v>
      </c>
      <c r="Q188" s="26">
        <f t="shared" si="4"/>
        <v>-175</v>
      </c>
    </row>
    <row r="189" spans="1:17" x14ac:dyDescent="0.25">
      <c r="A189" s="11">
        <v>47</v>
      </c>
      <c r="B189" s="72" t="s">
        <v>143</v>
      </c>
      <c r="C189" s="73" t="s">
        <v>25</v>
      </c>
      <c r="D189" s="31">
        <v>350106</v>
      </c>
      <c r="E189" s="74" t="s">
        <v>144</v>
      </c>
      <c r="F189" s="21">
        <v>1000</v>
      </c>
      <c r="G189" s="76" t="s">
        <v>27</v>
      </c>
      <c r="H189" s="77">
        <v>43101</v>
      </c>
      <c r="I189" s="77">
        <v>43465</v>
      </c>
      <c r="J189" s="79"/>
      <c r="K189" s="25">
        <f>IF(G189="გამ. შესყიდვა",SUMIFS('[1]გამარტივებული შესყიდვა'!L:L,'[1]გამარტივებული შესყიდვა'!K:K,B189,'[1]გამარტივებული შესყიდვა'!N:N,"საკუთარი შემოსავლები",'[1]გამარტივებული შესყიდვა'!O:O,"350106"),0)</f>
        <v>0</v>
      </c>
      <c r="L189" s="25">
        <f>IF(G189="გამ. შესყიდვა",SUMIFS('[1]გამარტივებული შესყიდვა'!L:L,'[1]გამარტივებული შესყიდვა'!K:K,B189,'[1]გამარტივებული შესყიდვა'!N:N,"საკუთარი შემოსავლები",'[1]გამარტივებული შესყიდვა'!O:O,"3503030702"),0)</f>
        <v>0</v>
      </c>
      <c r="M189" s="25">
        <f>IF(G189="კონს. ტენდერი",SUMIFS('[1]კონსოლიდირებული ტენდერი'!L:L,'[1]კონსოლიდირებული ტენდერი'!E:E,B189,'[1]კონსოლიდირებული ტენდერი'!N:N,"საკუთარი შემოსავლები",'[1]კონსოლიდირებული ტენდერი'!O:O,"350106"),0)</f>
        <v>0</v>
      </c>
      <c r="N189" s="25">
        <f>IF(G189="კონს. ტენდერი",SUMIFS('[1]კონსოლიდირებული ტენდერი'!L:L,'[1]კონსოლიდირებული ტენდერი'!E:E,B189,'[1]კონსოლიდირებული ტენდერი'!N:N,"საკუთარი შემოსავლები",'[1]კონსოლიდირებული ტენდერი'!O:O,"3503030702"),0)</f>
        <v>0</v>
      </c>
      <c r="O189" s="25">
        <f>IF(G189="ელ. ტენდერი",SUMIFS('[1]ელ. ტენდერი'!N:N,'[1]ელ. ტენდერი'!G:G,'30.05.2018'!B189,'[1]ელ. ტენდერი'!Q:Q,"საკუთარი შემოსავლები",'[1]ელ. ტენდერი'!R:R,"350106"),0)</f>
        <v>0</v>
      </c>
      <c r="P189" s="25">
        <f>IF(G189="ელ. ტენდერი",SUMIFS('[1]ელ. ტენდერი'!N:N,'[1]ელ. ტენდერი'!G:G,'30.05.2018'!B189,'[1]ელ. ტენდერი'!Q:Q,"საკუთარი შემოსავლები",'[1]ელ. ტენდერი'!R:R,"3503030702"),0)</f>
        <v>0</v>
      </c>
      <c r="Q189" s="26">
        <f t="shared" si="4"/>
        <v>1000</v>
      </c>
    </row>
    <row r="190" spans="1:17" x14ac:dyDescent="0.25">
      <c r="A190" s="17">
        <v>48</v>
      </c>
      <c r="B190" s="72" t="s">
        <v>143</v>
      </c>
      <c r="C190" s="73" t="s">
        <v>25</v>
      </c>
      <c r="D190" s="31">
        <v>350106</v>
      </c>
      <c r="E190" s="74" t="s">
        <v>144</v>
      </c>
      <c r="F190" s="21">
        <v>2900</v>
      </c>
      <c r="G190" s="76" t="s">
        <v>27</v>
      </c>
      <c r="H190" s="77">
        <v>43101</v>
      </c>
      <c r="I190" s="77">
        <v>43465</v>
      </c>
      <c r="J190" s="79"/>
      <c r="K190" s="25">
        <f>IF(G190="გამ. შესყიდვა",SUMIFS('[1]გამარტივებული შესყიდვა'!L:L,'[1]გამარტივებული შესყიდვა'!K:K,B190,'[1]გამარტივებული შესყიდვა'!N:N,"საკუთარი შემოსავლები",'[1]გამარტივებული შესყიდვა'!O:O,"350106"),0)</f>
        <v>0</v>
      </c>
      <c r="L190" s="25">
        <f>IF(G190="გამ. შესყიდვა",SUMIFS('[1]გამარტივებული შესყიდვა'!L:L,'[1]გამარტივებული შესყიდვა'!K:K,B190,'[1]გამარტივებული შესყიდვა'!N:N,"საკუთარი შემოსავლები",'[1]გამარტივებული შესყიდვა'!O:O,"3503030702"),0)</f>
        <v>0</v>
      </c>
      <c r="M190" s="25">
        <f>IF(G190="კონს. ტენდერი",SUMIFS('[1]კონსოლიდირებული ტენდერი'!L:L,'[1]კონსოლიდირებული ტენდერი'!E:E,B190,'[1]კონსოლიდირებული ტენდერი'!N:N,"საკუთარი შემოსავლები",'[1]კონსოლიდირებული ტენდერი'!O:O,"350106"),0)</f>
        <v>0</v>
      </c>
      <c r="N190" s="25">
        <f>IF(G190="კონს. ტენდერი",SUMIFS('[1]კონსოლიდირებული ტენდერი'!L:L,'[1]კონსოლიდირებული ტენდერი'!E:E,B190,'[1]კონსოლიდირებული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0" s="25">
        <f>IF(G190="ელ. ტენდერი",SUMIFS('[1]ელ. ტენდერი'!N:N,'[1]ელ. ტენდერი'!G:G,'30.05.2018'!B190,'[1]ელ. ტენდერი'!Q:Q,"საკუთარი შემოსავლები",'[1]ელ. ტენდერი'!R:R,"350106"),0)</f>
        <v>0</v>
      </c>
      <c r="P190" s="25">
        <f>IF(G190="ელ. ტენდერი",SUMIFS('[1]ელ. ტენდერი'!N:N,'[1]ელ. ტენდერი'!G:G,'30.05.2018'!B190,'[1]ელ. ტენდერი'!Q:Q,"საკუთარი შემოსავლები",'[1]ელ. ტენდერი'!R:R,"3503030702"),0)</f>
        <v>0</v>
      </c>
      <c r="Q190" s="26">
        <f t="shared" si="4"/>
        <v>2900</v>
      </c>
    </row>
    <row r="191" spans="1:17" x14ac:dyDescent="0.25">
      <c r="A191" s="11">
        <v>49</v>
      </c>
      <c r="B191" s="72" t="s">
        <v>145</v>
      </c>
      <c r="C191" s="73" t="s">
        <v>25</v>
      </c>
      <c r="D191" s="19">
        <v>3503030702</v>
      </c>
      <c r="E191" s="74" t="s">
        <v>146</v>
      </c>
      <c r="F191" s="21">
        <v>4190</v>
      </c>
      <c r="G191" s="76" t="s">
        <v>27</v>
      </c>
      <c r="H191" s="77">
        <v>43101</v>
      </c>
      <c r="I191" s="77">
        <v>43465</v>
      </c>
      <c r="J191" s="79"/>
      <c r="K191" s="25">
        <f>IF(G191="გამ. შესყიდვა",SUMIFS('[1]გამარტივებული შესყიდვა'!L:L,'[1]გამარტივებული შესყიდვა'!K:K,B191,'[1]გამარტივებული შესყიდვა'!N:N,"საკუთარი შემოსავლები",'[1]გამარტივებული შესყიდვა'!O:O,"350106"),0)</f>
        <v>756.25</v>
      </c>
      <c r="L191" s="25">
        <f>IF(G191="გამ. შესყიდვა",SUMIFS('[1]გამარტივებული შესყიდვა'!L:L,'[1]გამარტივებული შესყიდვა'!K:K,B191,'[1]გამარტივებული შესყიდვა'!N:N,"საკუთარი შემოსავლები",'[1]გამარტივებული შესყიდვა'!O:O,"3503030702"),0)</f>
        <v>150</v>
      </c>
      <c r="M191" s="25">
        <f>IF(G191="კონს. ტენდერი",SUMIFS('[1]კონსოლიდირებული ტენდერი'!L:L,'[1]კონსოლიდირებული ტენდერი'!E:E,B191,'[1]კონსოლიდირებული ტენდერი'!N:N,"საკუთარი შემოსავლები",'[1]კონსოლიდირებული ტენდერი'!O:O,"350106"),0)</f>
        <v>0</v>
      </c>
      <c r="N191" s="25">
        <f>IF(G191="კონს. ტენდერი",SUMIFS('[1]კონსოლიდირებული ტენდერი'!L:L,'[1]კონსოლიდირებული ტენდერი'!E:E,B191,'[1]კონსოლიდირებული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1" s="25">
        <f>IF(G191="ელ. ტენდერი",SUMIFS('[1]ელ. ტენდერი'!N:N,'[1]ელ. ტენდერი'!G:G,'30.05.2018'!B191,'[1]ელ. ტენდერი'!Q:Q,"საკუთარი შემოსავლები",'[1]ელ. ტენდერი'!R:R,"350106"),0)</f>
        <v>0</v>
      </c>
      <c r="P191" s="25">
        <f>IF(G191="ელ. ტენდერი",SUMIFS('[1]ელ. ტენდერი'!N:N,'[1]ელ. ტენდერი'!G:G,'30.05.2018'!B191,'[1]ელ. ტენდერი'!Q:Q,"საკუთარი შემოსავლები",'[1]ელ. ტენდერი'!R:R,"3503030702"),0)</f>
        <v>0</v>
      </c>
      <c r="Q191" s="26">
        <f t="shared" si="4"/>
        <v>3283.75</v>
      </c>
    </row>
    <row r="192" spans="1:17" x14ac:dyDescent="0.25">
      <c r="A192" s="11">
        <v>50</v>
      </c>
      <c r="B192" s="72" t="s">
        <v>145</v>
      </c>
      <c r="C192" s="73" t="s">
        <v>25</v>
      </c>
      <c r="D192" s="31">
        <v>350106</v>
      </c>
      <c r="E192" s="74" t="s">
        <v>146</v>
      </c>
      <c r="F192" s="21">
        <v>800</v>
      </c>
      <c r="G192" s="76" t="s">
        <v>27</v>
      </c>
      <c r="H192" s="77">
        <v>43210</v>
      </c>
      <c r="I192" s="77">
        <v>43465</v>
      </c>
      <c r="J192" s="79"/>
      <c r="K192" s="25">
        <f>IF(G192="გამ. შესყიდვა",SUMIFS('[1]გამარტივებული შესყიდვა'!L:L,'[1]გამარტივებული შესყიდვა'!K:K,B192,'[1]გამარტივებული შესყიდვა'!N:N,"საკუთარი შემოსავლები",'[1]გამარტივებული შესყიდვა'!O:O,"350106"),0)</f>
        <v>756.25</v>
      </c>
      <c r="L192" s="25">
        <f>IF(G192="გამ. შესყიდვა",SUMIFS('[1]გამარტივებული შესყიდვა'!L:L,'[1]გამარტივებული შესყიდვა'!K:K,B192,'[1]გამარტივებული შესყიდვა'!N:N,"საკუთარი შემოსავლები",'[1]გამარტივებული შესყიდვა'!O:O,"3503030702"),0)</f>
        <v>150</v>
      </c>
      <c r="M192" s="25">
        <f>IF(G192="კონს. ტენდერი",SUMIFS('[1]კონსოლიდირებული ტენდერი'!L:L,'[1]კონსოლიდირებული ტენდერი'!E:E,B192,'[1]კონსოლიდირებული ტენდერი'!N:N,"საკუთარი შემოსავლები",'[1]კონსოლიდირებული ტენდერი'!O:O,"350106"),0)</f>
        <v>0</v>
      </c>
      <c r="N192" s="25">
        <f>IF(G192="კონს. ტენდერი",SUMIFS('[1]კონსოლიდირებული ტენდერი'!L:L,'[1]კონსოლიდირებული ტენდერი'!E:E,B192,'[1]კონსოლიდირებული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2" s="25">
        <f>IF(G192="ელ. ტენდერი",SUMIFS('[1]ელ. ტენდერი'!N:N,'[1]ელ. ტენდერი'!G:G,'30.05.2018'!B192,'[1]ელ. ტენდერი'!Q:Q,"საკუთარი შემოსავლები",'[1]ელ. ტენდერი'!R:R,"350106"),0)</f>
        <v>0</v>
      </c>
      <c r="P192" s="25">
        <f>IF(G192="ელ. ტენდერი",SUMIFS('[1]ელ. ტენდერი'!N:N,'[1]ელ. ტენდერი'!G:G,'30.05.2018'!B192,'[1]ელ. ტენდერი'!Q:Q,"საკუთარი შემოსავლები",'[1]ელ. ტენდერი'!R:R,"3503030702"),0)</f>
        <v>0</v>
      </c>
      <c r="Q192" s="26">
        <f t="shared" si="4"/>
        <v>-106.25</v>
      </c>
    </row>
    <row r="193" spans="1:17" x14ac:dyDescent="0.25">
      <c r="A193" s="11">
        <v>51</v>
      </c>
      <c r="B193" s="72" t="s">
        <v>150</v>
      </c>
      <c r="C193" s="73" t="s">
        <v>25</v>
      </c>
      <c r="D193" s="19">
        <v>350106</v>
      </c>
      <c r="E193" s="20" t="s">
        <v>151</v>
      </c>
      <c r="F193" s="21">
        <v>990</v>
      </c>
      <c r="G193" s="76" t="s">
        <v>27</v>
      </c>
      <c r="H193" s="77">
        <v>43242</v>
      </c>
      <c r="I193" s="77">
        <v>43607</v>
      </c>
      <c r="J193" s="79"/>
      <c r="K193" s="25">
        <f>IF(G193="გამ. შესყიდვა",SUMIFS('[1]გამარტივებული შესყიდვა'!L:L,'[1]გამარტივებული შესყიდვა'!K:K,B193,'[1]გამარტივებული შესყიდვა'!N:N,"საკუთარი შემოსავლები",'[1]გამარტივებული შესყიდვა'!O:O,"350106"),0)</f>
        <v>701</v>
      </c>
      <c r="L193" s="25">
        <f>IF(G193="გამ. შესყიდვა",SUMIFS('[1]გამარტივებული შესყიდვა'!L:L,'[1]გამარტივებული შესყიდვა'!K:K,B193,'[1]გამარტივებული შესყიდვა'!N:N,"საკუთარი შემოსავლები",'[1]გამარტივებული შესყიდვა'!O:O,"3503030702"),0)</f>
        <v>0</v>
      </c>
      <c r="M193" s="25">
        <f>IF(G193="კონს. ტენდერი",SUMIFS('[1]კონსოლიდირებული ტენდერი'!L:L,'[1]კონსოლიდირებული ტენდერი'!E:E,B193,'[1]კონსოლიდირებული ტენდერი'!N:N,"საკუთარი შემოსავლები",'[1]კონსოლიდირებული ტენდერი'!O:O,"350106"),0)</f>
        <v>0</v>
      </c>
      <c r="N193" s="25">
        <f>IF(G193="კონს. ტენდერი",SUMIFS('[1]კონსოლიდირებული ტენდერი'!L:L,'[1]კონსოლიდირებული ტენდერი'!E:E,B193,'[1]კონსოლიდირებული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3" s="25">
        <f>IF(G193="ელ. ტენდერი",SUMIFS('[1]ელ. ტენდერი'!N:N,'[1]ელ. ტენდერი'!G:G,'30.05.2018'!B193,'[1]ელ. ტენდერი'!Q:Q,"საკუთარი შემოსავლები",'[1]ელ. ტენდერი'!R:R,"350106"),0)</f>
        <v>0</v>
      </c>
      <c r="P193" s="25">
        <f>IF(G193="ელ. ტენდერი",SUMIFS('[1]ელ. ტენდერი'!N:N,'[1]ელ. ტენდერი'!G:G,'30.05.2018'!B193,'[1]ელ. ტენდერი'!Q:Q,"საკუთარი შემოსავლები",'[1]ელ. ტენდერი'!R:R,"3503030702"),0)</f>
        <v>0</v>
      </c>
      <c r="Q193" s="26">
        <f t="shared" si="4"/>
        <v>289</v>
      </c>
    </row>
    <row r="194" spans="1:17" x14ac:dyDescent="0.25">
      <c r="A194" s="11">
        <v>52</v>
      </c>
      <c r="B194" s="81" t="s">
        <v>154</v>
      </c>
      <c r="C194" s="73" t="s">
        <v>25</v>
      </c>
      <c r="D194" s="31">
        <v>350106</v>
      </c>
      <c r="E194" s="74" t="s">
        <v>155</v>
      </c>
      <c r="F194" s="21">
        <v>1490</v>
      </c>
      <c r="G194" s="76" t="s">
        <v>27</v>
      </c>
      <c r="H194" s="77">
        <v>43101</v>
      </c>
      <c r="I194" s="77">
        <v>43465</v>
      </c>
      <c r="J194" s="79"/>
      <c r="K194" s="25">
        <f>IF(G194="გამ. შესყიდვა",SUMIFS('[1]გამარტივებული შესყიდვა'!L:L,'[1]გამარტივებული შესყიდვა'!K:K,B194,'[1]გამარტივებული შესყიდვა'!N:N,"საკუთარი შემოსავლები",'[1]გამარტივებული შესყიდვა'!O:O,"350106"),0)</f>
        <v>0</v>
      </c>
      <c r="L194" s="25">
        <f>IF(G194="გამ. შესყიდვა",SUMIFS('[1]გამარტივებული შესყიდვა'!L:L,'[1]გამარტივებული შესყიდვა'!K:K,B194,'[1]გამარტივებული შესყიდვა'!N:N,"საკუთარი შემოსავლები",'[1]გამარტივებული შესყიდვა'!O:O,"3503030702"),0)</f>
        <v>0</v>
      </c>
      <c r="M194" s="25">
        <f>IF(G194="კონს. ტენდერი",SUMIFS('[1]კონსოლიდირებული ტენდერი'!L:L,'[1]კონსოლიდირებული ტენდერი'!E:E,B194,'[1]კონსოლიდირებული ტენდერი'!N:N,"საკუთარი შემოსავლები",'[1]კონსოლიდირებული ტენდერი'!O:O,"350106"),0)</f>
        <v>0</v>
      </c>
      <c r="N194" s="25">
        <f>IF(G194="კონს. ტენდერი",SUMIFS('[1]კონსოლიდირებული ტენდერი'!L:L,'[1]კონსოლიდირებული ტენდერი'!E:E,B194,'[1]კონსოლიდირებული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4" s="25">
        <f>IF(G194="ელ. ტენდერი",SUMIFS('[1]ელ. ტენდერი'!N:N,'[1]ელ. ტენდერი'!G:G,'30.05.2018'!B194,'[1]ელ. ტენდერი'!Q:Q,"საკუთარი შემოსავლები",'[1]ელ. ტენდერი'!R:R,"350106"),0)</f>
        <v>0</v>
      </c>
      <c r="P194" s="25">
        <f>IF(G194="ელ. ტენდერი",SUMIFS('[1]ელ. ტენდერი'!N:N,'[1]ელ. ტენდერი'!G:G,'30.05.2018'!B194,'[1]ელ. ტენდერი'!Q:Q,"საკუთარი შემოსავლები",'[1]ელ. ტენდერი'!R:R,"3503030702"),0)</f>
        <v>0</v>
      </c>
      <c r="Q194" s="26">
        <f t="shared" si="4"/>
        <v>1490</v>
      </c>
    </row>
    <row r="195" spans="1:17" x14ac:dyDescent="0.25">
      <c r="A195" s="11">
        <v>53</v>
      </c>
      <c r="B195" s="81" t="s">
        <v>154</v>
      </c>
      <c r="C195" s="73" t="s">
        <v>25</v>
      </c>
      <c r="D195" s="31">
        <v>350106</v>
      </c>
      <c r="E195" s="74" t="s">
        <v>155</v>
      </c>
      <c r="F195" s="21">
        <v>3500</v>
      </c>
      <c r="G195" s="76" t="s">
        <v>27</v>
      </c>
      <c r="H195" s="77">
        <v>43101</v>
      </c>
      <c r="I195" s="77">
        <v>43465</v>
      </c>
      <c r="J195" s="79"/>
      <c r="K195" s="25">
        <f>IF(G195="გამ. შესყიდვა",SUMIFS('[1]გამარტივებული შესყიდვა'!L:L,'[1]გამარტივებული შესყიდვა'!K:K,B195,'[1]გამარტივებული შესყიდვა'!N:N,"საკუთარი შემოსავლები",'[1]გამარტივებული შესყიდვა'!O:O,"350106"),0)</f>
        <v>0</v>
      </c>
      <c r="L195" s="25">
        <f>IF(G195="გამ. შესყიდვა",SUMIFS('[1]გამარტივებული შესყიდვა'!L:L,'[1]გამარტივებული შესყიდვა'!K:K,B195,'[1]გამარტივებული შესყიდვა'!N:N,"საკუთარი შემოსავლები",'[1]გამარტივებული შესყიდვა'!O:O,"3503030702"),0)</f>
        <v>0</v>
      </c>
      <c r="M195" s="25">
        <f>IF(G195="კონს. ტენდერი",SUMIFS('[1]კონსოლიდირებული ტენდერი'!L:L,'[1]კონსოლიდირებული ტენდერი'!E:E,B195,'[1]კონსოლიდირებული ტენდერი'!N:N,"საკუთარი შემოსავლები",'[1]კონსოლიდირებული ტენდერი'!O:O,"350106"),0)</f>
        <v>0</v>
      </c>
      <c r="N195" s="25">
        <f>IF(G195="კონს. ტენდერი",SUMIFS('[1]კონსოლიდირებული ტენდერი'!L:L,'[1]კონსოლიდირებული ტენდერი'!E:E,B195,'[1]კონსოლიდირებული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5" s="25">
        <f>IF(G195="ელ. ტენდერი",SUMIFS('[1]ელ. ტენდერი'!N:N,'[1]ელ. ტენდერი'!G:G,'30.05.2018'!B195,'[1]ელ. ტენდერი'!Q:Q,"საკუთარი შემოსავლები",'[1]ელ. ტენდერი'!R:R,"350106"),0)</f>
        <v>0</v>
      </c>
      <c r="P195" s="25">
        <f>IF(G195="ელ. ტენდერი",SUMIFS('[1]ელ. ტენდერი'!N:N,'[1]ელ. ტენდერი'!G:G,'30.05.2018'!B195,'[1]ელ. ტენდერი'!Q:Q,"საკუთარი შემოსავლები",'[1]ელ. ტენდერი'!R:R,"3503030702"),0)</f>
        <v>0</v>
      </c>
      <c r="Q195" s="26">
        <f t="shared" si="4"/>
        <v>3500</v>
      </c>
    </row>
    <row r="196" spans="1:17" x14ac:dyDescent="0.25">
      <c r="A196" s="11">
        <v>54</v>
      </c>
      <c r="B196" s="81" t="s">
        <v>159</v>
      </c>
      <c r="C196" s="18" t="s">
        <v>25</v>
      </c>
      <c r="D196" s="19">
        <v>3503030702</v>
      </c>
      <c r="E196" s="20" t="s">
        <v>160</v>
      </c>
      <c r="F196" s="21">
        <f>4990-2000</f>
        <v>2990</v>
      </c>
      <c r="G196" s="76" t="s">
        <v>27</v>
      </c>
      <c r="H196" s="77">
        <v>43168</v>
      </c>
      <c r="I196" s="77">
        <v>43465</v>
      </c>
      <c r="J196" s="79"/>
      <c r="K196" s="25">
        <f>IF(G196="გამ. შესყიდვა",SUMIFS('[1]გამარტივებული შესყიდვა'!L:L,'[1]გამარტივებული შესყიდვა'!K:K,B196,'[1]გამარტივებული შესყიდვა'!N:N,"საკუთარი შემოსავლები",'[1]გამარტივებული შესყიდვა'!O:O,"350106"),0)</f>
        <v>0</v>
      </c>
      <c r="L196" s="25">
        <f>IF(G196="გამ. შესყიდვა",SUMIFS('[1]გამარტივებული შესყიდვა'!L:L,'[1]გამარტივებული შესყიდვა'!K:K,B196,'[1]გამარტივებული შესყიდვა'!N:N,"საკუთარი შემოსავლები",'[1]გამარტივებული შესყიდვა'!O:O,"3503030702"),0)</f>
        <v>1000</v>
      </c>
      <c r="M196" s="25">
        <f>IF(G196="კონს. ტენდერი",SUMIFS('[1]კონსოლიდირებული ტენდერი'!L:L,'[1]კონსოლიდირებული ტენდერი'!E:E,B196,'[1]კონსოლიდირებული ტენდერი'!N:N,"საკუთარი შემოსავლები",'[1]კონსოლიდირებული ტენდერი'!O:O,"350106"),0)</f>
        <v>0</v>
      </c>
      <c r="N196" s="25">
        <f>IF(G196="კონს. ტენდერი",SUMIFS('[1]კონსოლიდირებული ტენდერი'!L:L,'[1]კონსოლიდირებული ტენდერი'!E:E,B196,'[1]კონსოლიდირებული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6" s="25">
        <f>IF(G196="ელ. ტენდერი",SUMIFS('[1]ელ. ტენდერი'!N:N,'[1]ელ. ტენდერი'!G:G,'30.05.2018'!B196,'[1]ელ. ტენდერი'!Q:Q,"საკუთარი შემოსავლები",'[1]ელ. ტენდერი'!R:R,"350106"),0)</f>
        <v>0</v>
      </c>
      <c r="P196" s="25">
        <f>IF(G196="ელ. ტენდერი",SUMIFS('[1]ელ. ტენდერი'!N:N,'[1]ელ. ტენდერი'!G:G,'30.05.2018'!B196,'[1]ელ. ტენდერი'!Q:Q,"საკუთარი შემოსავლები",'[1]ელ. ტენდერი'!R:R,"3503030702"),0)</f>
        <v>0</v>
      </c>
      <c r="Q196" s="26">
        <f t="shared" si="4"/>
        <v>1990</v>
      </c>
    </row>
    <row r="197" spans="1:17" x14ac:dyDescent="0.25">
      <c r="A197" s="11">
        <v>55</v>
      </c>
      <c r="B197" s="81" t="s">
        <v>161</v>
      </c>
      <c r="C197" s="18" t="s">
        <v>25</v>
      </c>
      <c r="D197" s="19">
        <v>3503030702</v>
      </c>
      <c r="E197" s="20" t="s">
        <v>162</v>
      </c>
      <c r="F197" s="21">
        <v>1000</v>
      </c>
      <c r="G197" s="76" t="s">
        <v>27</v>
      </c>
      <c r="H197" s="77">
        <v>43210</v>
      </c>
      <c r="I197" s="77">
        <v>43465</v>
      </c>
      <c r="J197" s="79"/>
      <c r="K197" s="25">
        <f>IF(G197="გამ. შესყიდვა",SUMIFS('[1]გამარტივებული შესყიდვა'!L:L,'[1]გამარტივებული შესყიდვა'!K:K,B197,'[1]გამარტივებული შესყიდვა'!N:N,"საკუთარი შემოსავლები",'[1]გამარტივებული შესყიდვა'!O:O,"350106"),0)</f>
        <v>0</v>
      </c>
      <c r="L197" s="25">
        <f>IF(G197="გამ. შესყიდვა",SUMIFS('[1]გამარტივებული შესყიდვა'!L:L,'[1]გამარტივებული შესყიდვა'!K:K,B197,'[1]გამარტივებული შესყიდვა'!N:N,"საკუთარი შემოსავლები",'[1]გამარტივებული შესყიდვა'!O:O,"3503030702"),0)</f>
        <v>450</v>
      </c>
      <c r="M197" s="25">
        <f>IF(G197="კონს. ტენდერი",SUMIFS('[1]კონსოლიდირებული ტენდერი'!L:L,'[1]კონსოლიდირებული ტენდერი'!E:E,B197,'[1]კონსოლიდირებული ტენდერი'!N:N,"საკუთარი შემოსავლები",'[1]კონსოლიდირებული ტენდერი'!O:O,"350106"),0)</f>
        <v>0</v>
      </c>
      <c r="N197" s="25">
        <f>IF(G197="კონს. ტენდერი",SUMIFS('[1]კონსოლიდირებული ტენდერი'!L:L,'[1]კონსოლიდირებული ტენდერი'!E:E,B197,'[1]კონსოლიდირებული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7" s="25">
        <f>IF(G197="ელ. ტენდერი",SUMIFS('[1]ელ. ტენდერი'!N:N,'[1]ელ. ტენდერი'!G:G,'30.05.2018'!B197,'[1]ელ. ტენდერი'!Q:Q,"საკუთარი შემოსავლები",'[1]ელ. ტენდერი'!R:R,"350106"),0)</f>
        <v>0</v>
      </c>
      <c r="P197" s="25">
        <f>IF(G197="ელ. ტენდერი",SUMIFS('[1]ელ. ტენდერი'!N:N,'[1]ელ. ტენდერი'!G:G,'30.05.2018'!B197,'[1]ელ. ტენდერი'!Q:Q,"საკუთარი შემოსავლები",'[1]ელ. ტენდერი'!R:R,"3503030702"),0)</f>
        <v>0</v>
      </c>
      <c r="Q197" s="26">
        <f t="shared" si="4"/>
        <v>550</v>
      </c>
    </row>
    <row r="198" spans="1:17" x14ac:dyDescent="0.25">
      <c r="A198" s="11">
        <v>56</v>
      </c>
      <c r="B198" s="81" t="s">
        <v>167</v>
      </c>
      <c r="C198" s="73" t="s">
        <v>25</v>
      </c>
      <c r="D198" s="31">
        <v>350106</v>
      </c>
      <c r="E198" s="74" t="s">
        <v>168</v>
      </c>
      <c r="F198" s="21">
        <v>4990</v>
      </c>
      <c r="G198" s="76" t="s">
        <v>27</v>
      </c>
      <c r="H198" s="77">
        <v>43101</v>
      </c>
      <c r="I198" s="77">
        <v>43465</v>
      </c>
      <c r="J198" s="79"/>
      <c r="K198" s="25">
        <f>IF(G198="გამ. შესყიდვა",SUMIFS('[1]გამარტივებული შესყიდვა'!L:L,'[1]გამარტივებული შესყიდვა'!K:K,B198,'[1]გამარტივებული შესყიდვა'!N:N,"საკუთარი შემოსავლები",'[1]გამარტივებული შესყიდვა'!O:O,"350106"),0)</f>
        <v>3188.52</v>
      </c>
      <c r="L198" s="25">
        <f>IF(G198="გამ. შესყიდვა",SUMIFS('[1]გამარტივებული შესყიდვა'!L:L,'[1]გამარტივებული შესყიდვა'!K:K,B198,'[1]გამარტივებული შესყიდვა'!N:N,"საკუთარი შემოსავლები",'[1]გამარტივებული შესყიდვა'!O:O,"3503030702"),0)</f>
        <v>0</v>
      </c>
      <c r="M198" s="25">
        <f>IF(G198="კონს. ტენდერი",SUMIFS('[1]კონსოლიდირებული ტენდერი'!L:L,'[1]კონსოლიდირებული ტენდერი'!E:E,B198,'[1]კონსოლიდირებული ტენდერი'!N:N,"საკუთარი შემოსავლები",'[1]კონსოლიდირებული ტენდერი'!O:O,"350106"),0)</f>
        <v>0</v>
      </c>
      <c r="N198" s="25">
        <f>IF(G198="კონს. ტენდერი",SUMIFS('[1]კონსოლიდირებული ტენდერი'!L:L,'[1]კონსოლიდირებული ტენდერი'!E:E,B198,'[1]კონსოლიდირებული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8" s="25">
        <f>IF(G198="ელ. ტენდერი",SUMIFS('[1]ელ. ტენდერი'!N:N,'[1]ელ. ტენდერი'!G:G,'30.05.2018'!B198,'[1]ელ. ტენდერი'!Q:Q,"საკუთარი შემოსავლები",'[1]ელ. ტენდერი'!R:R,"350106"),0)</f>
        <v>0</v>
      </c>
      <c r="P198" s="25">
        <f>IF(G198="ელ. ტენდერი",SUMIFS('[1]ელ. ტენდერი'!N:N,'[1]ელ. ტენდერი'!G:G,'30.05.2018'!B198,'[1]ელ. ტენდერი'!Q:Q,"საკუთარი შემოსავლები",'[1]ელ. ტენდერი'!R:R,"3503030702"),0)</f>
        <v>0</v>
      </c>
      <c r="Q198" s="26">
        <f t="shared" si="4"/>
        <v>1801.48</v>
      </c>
    </row>
    <row r="199" spans="1:17" x14ac:dyDescent="0.25">
      <c r="A199" s="11">
        <v>57</v>
      </c>
      <c r="B199" s="81" t="s">
        <v>169</v>
      </c>
      <c r="C199" s="87" t="s">
        <v>67</v>
      </c>
      <c r="D199" s="31">
        <v>350106</v>
      </c>
      <c r="E199" s="74" t="s">
        <v>239</v>
      </c>
      <c r="F199" s="21">
        <v>4950</v>
      </c>
      <c r="G199" s="76" t="s">
        <v>27</v>
      </c>
      <c r="H199" s="77">
        <v>43101</v>
      </c>
      <c r="I199" s="77">
        <v>43465</v>
      </c>
      <c r="J199" s="79"/>
      <c r="K199" s="25">
        <f>IF(G199="გამ. შესყიდვა",SUMIFS('[1]გამარტივებული შესყიდვა'!L:L,'[1]გამარტივებული შესყიდვა'!K:K,B199,'[1]გამარტივებული შესყიდვა'!N:N,"საკუთარი შემოსავლები",'[1]გამარტივებული შესყიდვა'!O:O,"350106"),0)</f>
        <v>4882.75</v>
      </c>
      <c r="L199" s="25">
        <f>IF(G199="გამ. შესყიდვა",SUMIFS('[1]გამარტივებული შესყიდვა'!L:L,'[1]გამარტივებული შესყიდვა'!K:K,B199,'[1]გამარტივებული შესყიდვა'!N:N,"საკუთარი შემოსავლები",'[1]გამარტივებული შესყიდვა'!O:O,"3503030702"),0)</f>
        <v>0</v>
      </c>
      <c r="M199" s="25">
        <f>IF(G199="კონს. ტენდერი",SUMIFS('[1]კონსოლიდირებული ტენდერი'!L:L,'[1]კონსოლიდირებული ტენდერი'!E:E,B199,'[1]კონსოლიდირებული ტენდერი'!N:N,"საკუთარი შემოსავლები",'[1]კონსოლიდირებული ტენდერი'!O:O,"350106"),0)</f>
        <v>0</v>
      </c>
      <c r="N199" s="25">
        <f>IF(G199="კონს. ტენდერი",SUMIFS('[1]კონსოლიდირებული ტენდერი'!L:L,'[1]კონსოლიდირებული ტენდერი'!E:E,B199,'[1]კონსოლიდირებული ტენდერი'!N:N,"საკუთარი შემოსავლები",'[1]კონსოლიდირებული ტენდერი'!O:O,"3503030702"),0)</f>
        <v>0</v>
      </c>
      <c r="O199" s="25">
        <f>IF(G199="ელ. ტენდერი",SUMIFS('[1]ელ. ტენდერი'!N:N,'[1]ელ. ტენდერი'!G:G,'30.05.2018'!B199,'[1]ელ. ტენდერი'!Q:Q,"საკუთარი შემოსავლები",'[1]ელ. ტენდერი'!R:R,"350106"),0)</f>
        <v>0</v>
      </c>
      <c r="P199" s="25">
        <f>IF(G199="ელ. ტენდერი",SUMIFS('[1]ელ. ტენდერი'!N:N,'[1]ელ. ტენდერი'!G:G,'30.05.2018'!B199,'[1]ელ. ტენდერი'!Q:Q,"საკუთარი შემოსავლები",'[1]ელ. ტენდერი'!R:R,"3503030702"),0)</f>
        <v>0</v>
      </c>
      <c r="Q199" s="26">
        <f t="shared" si="4"/>
        <v>67.25</v>
      </c>
    </row>
    <row r="200" spans="1:17" x14ac:dyDescent="0.25">
      <c r="A200" s="11">
        <v>58</v>
      </c>
      <c r="B200" s="81" t="s">
        <v>171</v>
      </c>
      <c r="C200" s="73" t="s">
        <v>25</v>
      </c>
      <c r="D200" s="31">
        <v>350106</v>
      </c>
      <c r="E200" s="74" t="s">
        <v>240</v>
      </c>
      <c r="F200" s="21">
        <v>1000</v>
      </c>
      <c r="G200" s="76" t="s">
        <v>27</v>
      </c>
      <c r="H200" s="77">
        <v>43101</v>
      </c>
      <c r="I200" s="77">
        <v>43465</v>
      </c>
      <c r="J200" s="82"/>
      <c r="K200" s="25">
        <f>IF(G200="გამ. შესყიდვა",SUMIFS('[1]გამარტივებული შესყიდვა'!L:L,'[1]გამარტივებული შესყიდვა'!K:K,B200,'[1]გამარტივებული შესყიდვა'!N:N,"საკუთარი შემოსავლები",'[1]გამარტივებული შესყიდვა'!O:O,"350106"),0)</f>
        <v>0</v>
      </c>
      <c r="L200" s="25">
        <f>IF(G200="გამ. შესყიდვა",SUMIFS('[1]გამარტივებული შესყიდვა'!L:L,'[1]გამარტივებული შესყიდვა'!K:K,B200,'[1]გამარტივებული შესყიდვა'!N:N,"საკუთარი შემოსავლები",'[1]გამარტივებული შესყიდვა'!O:O,"3503030702"),0)</f>
        <v>0</v>
      </c>
      <c r="M200" s="25">
        <f>IF(G200="კონს. ტენდერი",SUMIFS('[1]კონსოლიდირებული ტენდერი'!L:L,'[1]კონსოლიდირებული ტენდერი'!E:E,B200,'[1]კონსოლიდირებული ტენდერი'!N:N,"საკუთარი შემოსავლები",'[1]კონსოლიდირებული ტენდერი'!O:O,"350106"),0)</f>
        <v>0</v>
      </c>
      <c r="N200" s="25">
        <f>IF(G200="კონს. ტენდერი",SUMIFS('[1]კონსოლიდირებული ტენდერი'!L:L,'[1]კონსოლიდირებული ტენდერი'!E:E,B200,'[1]კონსოლიდირებული ტენდერი'!N:N,"საკუთარი შემოსავლები",'[1]კონსოლიდირებული ტენდერი'!O:O,"3503030702"),0)</f>
        <v>0</v>
      </c>
      <c r="O200" s="25">
        <f>IF(G200="ელ. ტენდერი",SUMIFS('[1]ელ. ტენდერი'!N:N,'[1]ელ. ტენდერი'!G:G,'30.05.2018'!B200,'[1]ელ. ტენდერი'!Q:Q,"საკუთარი შემოსავლები",'[1]ელ. ტენდერი'!R:R,"350106"),0)</f>
        <v>0</v>
      </c>
      <c r="P200" s="25">
        <f>IF(G200="ელ. ტენდერი",SUMIFS('[1]ელ. ტენდერი'!N:N,'[1]ელ. ტენდერი'!G:G,'30.05.2018'!B200,'[1]ელ. ტენდერი'!Q:Q,"საკუთარი შემოსავლები",'[1]ელ. ტენდერი'!R:R,"3503030702"),0)</f>
        <v>0</v>
      </c>
      <c r="Q200" s="26">
        <f t="shared" si="4"/>
        <v>1000</v>
      </c>
    </row>
    <row r="201" spans="1:17" x14ac:dyDescent="0.25">
      <c r="A201" s="11">
        <v>59</v>
      </c>
      <c r="B201" s="81" t="s">
        <v>171</v>
      </c>
      <c r="C201" s="73" t="s">
        <v>25</v>
      </c>
      <c r="D201" s="19">
        <v>3503030702</v>
      </c>
      <c r="E201" s="74" t="s">
        <v>240</v>
      </c>
      <c r="F201" s="21">
        <v>3490</v>
      </c>
      <c r="G201" s="76" t="s">
        <v>27</v>
      </c>
      <c r="H201" s="77">
        <v>43248</v>
      </c>
      <c r="I201" s="77">
        <v>43465</v>
      </c>
      <c r="J201" s="79"/>
      <c r="K201" s="25">
        <f>IF(G201="გამ. შესყიდვა",SUMIFS('[1]გამარტივებული შესყიდვა'!L:L,'[1]გამარტივებული შესყიდვა'!K:K,B201,'[1]გამარტივებული შესყიდვა'!N:N,"საკუთარი შემოსავლები",'[1]გამარტივებული შესყიდვა'!O:O,"350106"),0)</f>
        <v>0</v>
      </c>
      <c r="L201" s="25">
        <f>IF(G201="გამ. შესყიდვა",SUMIFS('[1]გამარტივებული შესყიდვა'!L:L,'[1]გამარტივებული შესყიდვა'!K:K,B201,'[1]გამარტივებული შესყიდვა'!N:N,"საკუთარი შემოსავლები",'[1]გამარტივებული შესყიდვა'!O:O,"3503030702"),0)</f>
        <v>0</v>
      </c>
      <c r="M201" s="25">
        <f>IF(G201="კონს. ტენდერი",SUMIFS('[1]კონსოლიდირებული ტენდერი'!L:L,'[1]კონსოლიდირებული ტენდერი'!E:E,B201,'[1]კონსოლიდირებული ტენდერი'!N:N,"საკუთარი შემოსავლები",'[1]კონსოლიდირებული ტენდერი'!O:O,"350106"),0)</f>
        <v>0</v>
      </c>
      <c r="N201" s="25">
        <f>IF(G201="კონს. ტენდერი",SUMIFS('[1]კონსოლიდირებული ტენდერი'!L:L,'[1]კონსოლიდირებული ტენდერი'!E:E,B201,'[1]კონსოლიდირებული ტენდერი'!N:N,"საკუთარი შემოსავლები",'[1]კონსოლიდირებული ტენდერი'!O:O,"3503030702"),0)</f>
        <v>0</v>
      </c>
      <c r="O201" s="25">
        <f>IF(G201="ელ. ტენდერი",SUMIFS('[1]ელ. ტენდერი'!N:N,'[1]ელ. ტენდერი'!G:G,'30.05.2018'!B201,'[1]ელ. ტენდერი'!Q:Q,"საკუთარი შემოსავლები",'[1]ელ. ტენდერი'!R:R,"350106"),0)</f>
        <v>0</v>
      </c>
      <c r="P201" s="25">
        <f>IF(G201="ელ. ტენდერი",SUMIFS('[1]ელ. ტენდერი'!N:N,'[1]ელ. ტენდერი'!G:G,'30.05.2018'!B201,'[1]ელ. ტენდერი'!Q:Q,"საკუთარი შემოსავლები",'[1]ელ. ტენდერი'!R:R,"3503030702"),0)</f>
        <v>0</v>
      </c>
      <c r="Q201" s="26">
        <f t="shared" si="4"/>
        <v>3490</v>
      </c>
    </row>
    <row r="202" spans="1:17" x14ac:dyDescent="0.25">
      <c r="A202" s="11">
        <v>60</v>
      </c>
      <c r="B202" s="81" t="s">
        <v>208</v>
      </c>
      <c r="C202" s="18" t="s">
        <v>25</v>
      </c>
      <c r="D202" s="31">
        <v>350106</v>
      </c>
      <c r="E202" s="74" t="s">
        <v>209</v>
      </c>
      <c r="F202" s="21">
        <f>4500-2000</f>
        <v>2500</v>
      </c>
      <c r="G202" s="76" t="s">
        <v>27</v>
      </c>
      <c r="H202" s="77">
        <v>43101</v>
      </c>
      <c r="I202" s="77">
        <v>43465</v>
      </c>
      <c r="J202" s="79"/>
      <c r="K202" s="25">
        <f>IF(G202="გამ. შესყიდვა",SUMIFS('[1]გამარტივებული შესყიდვა'!L:L,'[1]გამარტივებული შესყიდვა'!K:K,B202,'[1]გამარტივებული შესყიდვა'!N:N,"საკუთარი შემოსავლები",'[1]გამარტივებული შესყიდვა'!O:O,"350106"),0)</f>
        <v>124.95</v>
      </c>
      <c r="L202" s="25">
        <f>IF(G202="გამ. შესყიდვა",SUMIFS('[1]გამარტივებული შესყიდვა'!L:L,'[1]გამარტივებული შესყიდვა'!K:K,B202,'[1]გამარტივებული შესყიდვა'!N:N,"საკუთარი შემოსავლები",'[1]გამარტივებული შესყიდვა'!O:O,"3503030702"),0)</f>
        <v>0</v>
      </c>
      <c r="M202" s="25">
        <f>IF(G202="კონს. ტენდერი",SUMIFS('[1]კონსოლიდირებული ტენდერი'!L:L,'[1]კონსოლიდირებული ტენდერი'!E:E,B202,'[1]კონსოლიდირებული ტენდერი'!N:N,"საკუთარი შემოსავლები",'[1]კონსოლიდირებული ტენდერი'!O:O,"350106"),0)</f>
        <v>0</v>
      </c>
      <c r="N202" s="25">
        <f>IF(G202="კონს. ტენდერი",SUMIFS('[1]კონსოლიდირებული ტენდერი'!L:L,'[1]კონსოლიდირებული ტენდერი'!E:E,B202,'[1]კონსოლიდირებული ტენდერი'!N:N,"საკუთარი შემოსავლები",'[1]კონსოლიდირებული ტენდერი'!O:O,"3503030702"),0)</f>
        <v>0</v>
      </c>
      <c r="O202" s="25">
        <f>IF(G202="ელ. ტენდერი",SUMIFS('[1]ელ. ტენდერი'!N:N,'[1]ელ. ტენდერი'!G:G,'30.05.2018'!B202,'[1]ელ. ტენდერი'!Q:Q,"საკუთარი შემოსავლები",'[1]ელ. ტენდერი'!R:R,"350106"),0)</f>
        <v>0</v>
      </c>
      <c r="P202" s="25">
        <f>IF(G202="ელ. ტენდერი",SUMIFS('[1]ელ. ტენდერი'!N:N,'[1]ელ. ტენდერი'!G:G,'30.05.2018'!B202,'[1]ელ. ტენდერი'!Q:Q,"საკუთარი შემოსავლები",'[1]ელ. ტენდერი'!R:R,"3503030702"),0)</f>
        <v>0</v>
      </c>
      <c r="Q202" s="26">
        <f t="shared" si="4"/>
        <v>2375.0500000000002</v>
      </c>
    </row>
    <row r="203" spans="1:17" x14ac:dyDescent="0.25">
      <c r="A203" s="11">
        <v>61</v>
      </c>
      <c r="B203" s="81" t="s">
        <v>208</v>
      </c>
      <c r="C203" s="18" t="s">
        <v>25</v>
      </c>
      <c r="D203" s="31">
        <v>350106</v>
      </c>
      <c r="E203" s="74" t="s">
        <v>209</v>
      </c>
      <c r="F203" s="21">
        <f>450</f>
        <v>450</v>
      </c>
      <c r="G203" s="76" t="s">
        <v>27</v>
      </c>
      <c r="H203" s="77">
        <v>43101</v>
      </c>
      <c r="I203" s="77">
        <v>43465</v>
      </c>
      <c r="J203" s="79"/>
      <c r="K203" s="25">
        <f>IF(G203="გამ. შესყიდვა",SUMIFS('[1]გამარტივებული შესყიდვა'!L:L,'[1]გამარტივებული შესყიდვა'!K:K,B203,'[1]გამარტივებული შესყიდვა'!N:N,"საკუთარი შემოსავლები",'[1]გამარტივებული შესყიდვა'!O:O,"350106"),0)</f>
        <v>124.95</v>
      </c>
      <c r="L203" s="25">
        <f>IF(G203="გამ. შესყიდვა",SUMIFS('[1]გამარტივებული შესყიდვა'!L:L,'[1]გამარტივებული შესყიდვა'!K:K,B203,'[1]გამარტივებული შესყიდვა'!N:N,"საკუთარი შემოსავლები",'[1]გამარტივებული შესყიდვა'!O:O,"3503030702"),0)</f>
        <v>0</v>
      </c>
      <c r="M203" s="25">
        <f>IF(G203="კონს. ტენდერი",SUMIFS('[1]კონსოლიდირებული ტენდერი'!L:L,'[1]კონსოლიდირებული ტენდერი'!E:E,B203,'[1]კონსოლიდირებული ტენდერი'!N:N,"საკუთარი შემოსავლები",'[1]კონსოლიდირებული ტენდერი'!O:O,"350106"),0)</f>
        <v>0</v>
      </c>
      <c r="N203" s="25">
        <f>IF(G203="კონს. ტენდერი",SUMIFS('[1]კონსოლიდირებული ტენდერი'!L:L,'[1]კონსოლიდირებული ტენდერი'!E:E,B203,'[1]კონსოლიდირებული ტენდერი'!N:N,"საკუთარი შემოსავლები",'[1]კონსოლიდირებული ტენდერი'!O:O,"3503030702"),0)</f>
        <v>0</v>
      </c>
      <c r="O203" s="25">
        <f>IF(G203="ელ. ტენდერი",SUMIFS('[1]ელ. ტენდერი'!N:N,'[1]ელ. ტენდერი'!G:G,'30.05.2018'!B203,'[1]ელ. ტენდერი'!Q:Q,"საკუთარი შემოსავლები",'[1]ელ. ტენდერი'!R:R,"350106"),0)</f>
        <v>0</v>
      </c>
      <c r="P203" s="25">
        <f>IF(G203="ელ. ტენდერი",SUMIFS('[1]ელ. ტენდერი'!N:N,'[1]ელ. ტენდერი'!G:G,'30.05.2018'!B203,'[1]ელ. ტენდერი'!Q:Q,"საკუთარი შემოსავლები",'[1]ელ. ტენდერი'!R:R,"3503030702"),0)</f>
        <v>0</v>
      </c>
      <c r="Q203" s="26">
        <f t="shared" si="4"/>
        <v>325.05</v>
      </c>
    </row>
    <row r="204" spans="1:17" x14ac:dyDescent="0.25">
      <c r="A204" s="11">
        <v>62</v>
      </c>
      <c r="B204" s="81" t="s">
        <v>216</v>
      </c>
      <c r="C204" s="18" t="s">
        <v>25</v>
      </c>
      <c r="D204" s="31">
        <v>350106</v>
      </c>
      <c r="E204" s="74" t="s">
        <v>217</v>
      </c>
      <c r="F204" s="21">
        <f>2990+100+500-1970</f>
        <v>1620</v>
      </c>
      <c r="G204" s="76" t="s">
        <v>27</v>
      </c>
      <c r="H204" s="77">
        <v>43101</v>
      </c>
      <c r="I204" s="77">
        <v>43465</v>
      </c>
      <c r="J204" s="79"/>
      <c r="K204" s="25">
        <f>IF(G204="გამ. შესყიდვა",SUMIFS('[1]გამარტივებული შესყიდვა'!L:L,'[1]გამარტივებული შესყიდვა'!K:K,B204,'[1]გამარტივებული შესყიდვა'!N:N,"საკუთარი შემოსავლები",'[1]გამარტივებული შესყიდვა'!O:O,"350106"),0)</f>
        <v>0</v>
      </c>
      <c r="L204" s="25">
        <f>IF(G204="გამ. შესყიდვა",SUMIFS('[1]გამარტივებული შესყიდვა'!L:L,'[1]გამარტივებული შესყიდვა'!K:K,B204,'[1]გამარტივებული შესყიდვა'!N:N,"საკუთარი შემოსავლები",'[1]გამარტივებული შესყიდვა'!O:O,"3503030702"),0)</f>
        <v>0</v>
      </c>
      <c r="M204" s="25">
        <f>IF(G204="კონს. ტენდერი",SUMIFS('[1]კონსოლიდირებული ტენდერი'!L:L,'[1]კონსოლიდირებული ტენდერი'!E:E,B204,'[1]კონსოლიდირებული ტენდერი'!N:N,"საკუთარი შემოსავლები",'[1]კონსოლიდირებული ტენდერი'!O:O,"350106"),0)</f>
        <v>0</v>
      </c>
      <c r="N204" s="25">
        <f>IF(G204="კონს. ტენდერი",SUMIFS('[1]კონსოლიდირებული ტენდერი'!L:L,'[1]კონსოლიდირებული ტენდერი'!E:E,B204,'[1]კონსოლიდირებული ტენდერი'!N:N,"საკუთარი შემოსავლები",'[1]კონსოლიდირებული ტენდერი'!O:O,"3503030702"),0)</f>
        <v>0</v>
      </c>
      <c r="O204" s="25">
        <f>IF(G204="ელ. ტენდერი",SUMIFS('[1]ელ. ტენდერი'!N:N,'[1]ელ. ტენდერი'!G:G,'30.05.2018'!B204,'[1]ელ. ტენდერი'!Q:Q,"საკუთარი შემოსავლები",'[1]ელ. ტენდერი'!R:R,"350106"),0)</f>
        <v>0</v>
      </c>
      <c r="P204" s="25">
        <f>IF(G204="ელ. ტენდერი",SUMIFS('[1]ელ. ტენდერი'!N:N,'[1]ელ. ტენდერი'!G:G,'30.05.2018'!B204,'[1]ელ. ტენდერი'!Q:Q,"საკუთარი შემოსავლები",'[1]ელ. ტენდერი'!R:R,"3503030702"),0)</f>
        <v>0</v>
      </c>
      <c r="Q204" s="26">
        <f t="shared" si="4"/>
        <v>1620</v>
      </c>
    </row>
    <row r="205" spans="1:17" x14ac:dyDescent="0.25">
      <c r="B205" s="90"/>
      <c r="C205" s="90"/>
      <c r="D205" s="90"/>
      <c r="E205" s="90"/>
      <c r="F205" s="90"/>
      <c r="J205" s="91"/>
      <c r="K205" s="25">
        <f>IF(G205="გამ. შესყიდვა",SUMIFS('[1]გამარტივებული შესყიდვა'!L:L,'[1]გამარტივებული შესყიდვა'!K:K,B205,'[1]გამარტივებული შესყიდვა'!N:N,"საკუთარი შემოსავლები",'[1]გამარტივებული შესყიდვა'!O:O,"350106"),0)</f>
        <v>0</v>
      </c>
      <c r="L205" s="25">
        <f>IF(G205="გამ. შესყიდვა",SUMIFS('[1]გამარტივებული შესყიდვა'!L:L,'[1]გამარტივებული შესყიდვა'!K:K,B205,'[1]გამარტივებული შესყიდვა'!N:N,"საკუთარი შემოსავლები",'[1]გამარტივებული შესყიდვა'!O:O,"3503030702"),0)</f>
        <v>0</v>
      </c>
      <c r="M205" s="25">
        <f>IF(G205="კონს. ტენდერი",SUMIFS('[1]კონსოლიდირებული ტენდერი'!L:L,'[1]კონსოლიდირებული ტენდერი'!E:E,B205,'[1]კონსოლიდირებული ტენდერი'!N:N,"საკუთარი შემოსავლები",'[1]კონსოლიდირებული ტენდერი'!O:O,"350106"),0)</f>
        <v>0</v>
      </c>
      <c r="N205" s="25">
        <f>IF(G205="კონს. ტენდერი",SUMIFS('[1]კონსოლიდირებული ტენდერი'!L:L,'[1]კონსოლიდირებული ტენდერი'!E:E,B205,'[1]კონსოლიდირებული ტენდერი'!N:N,"საკუთარი შემოსავლები",'[1]კონსოლიდირებული ტენდერი'!O:O,"3503030702"),0)</f>
        <v>0</v>
      </c>
      <c r="O205" s="25">
        <f>IF(G205="ელ. ტენდერი",SUMIFS('[1]ელ. ტენდერი'!N:N,'[1]ელ. ტენდერი'!G:G,'30.05.2018'!B205,'[1]ელ. ტენდერი'!Q:Q,"საკუთარი შემოსავლები",'[1]ელ. ტენდერი'!R:R,"350106"),0)</f>
        <v>0</v>
      </c>
      <c r="P205" s="25">
        <f>IF(G205="ელ. ტენდერი",SUMIFS('[1]ელ. ტენდერი'!N:N,'[1]ელ. ტენდერი'!G:G,'30.05.2018'!B205,'[1]ელ. ტენდერი'!Q:Q,"საკუთარი შემოსავლები",'[1]ელ. ტენდერი'!R:R,"3503030702"),0)</f>
        <v>0</v>
      </c>
      <c r="Q205" s="26">
        <f t="shared" si="4"/>
        <v>0</v>
      </c>
    </row>
    <row r="206" spans="1:17" x14ac:dyDescent="0.25">
      <c r="B206" s="89"/>
      <c r="C206" s="89"/>
      <c r="D206" s="89"/>
      <c r="E206" s="89"/>
      <c r="F206" s="89"/>
      <c r="G206" s="89"/>
      <c r="H206" s="89"/>
      <c r="I206" s="89"/>
      <c r="J206" s="91"/>
    </row>
    <row r="207" spans="1:17" s="93" customFormat="1" x14ac:dyDescent="0.25">
      <c r="A207" s="89"/>
      <c r="B207" s="90"/>
      <c r="C207" s="90"/>
      <c r="D207" s="90"/>
      <c r="E207" s="90"/>
      <c r="F207" s="90"/>
      <c r="G207" s="90"/>
      <c r="H207" s="3"/>
      <c r="I207" s="3"/>
      <c r="J207" s="91"/>
      <c r="K207" s="92"/>
      <c r="L207" s="92"/>
      <c r="M207" s="92"/>
      <c r="N207" s="92"/>
      <c r="O207" s="92"/>
      <c r="P207" s="92"/>
      <c r="Q207" s="92"/>
    </row>
    <row r="208" spans="1:17" s="93" customFormat="1" ht="12.75" x14ac:dyDescent="0.2">
      <c r="A208" s="104" t="s">
        <v>0</v>
      </c>
      <c r="B208" s="104"/>
      <c r="C208" s="104"/>
      <c r="D208" s="104"/>
      <c r="E208" s="104"/>
      <c r="F208" s="104"/>
      <c r="G208" s="104"/>
      <c r="H208" s="104"/>
      <c r="I208" s="104"/>
      <c r="J208" s="104"/>
      <c r="K208" s="92"/>
      <c r="L208" s="92"/>
      <c r="M208" s="92"/>
      <c r="N208" s="92"/>
      <c r="O208" s="92"/>
      <c r="P208" s="92"/>
      <c r="Q208" s="92"/>
    </row>
    <row r="209" spans="1:17" x14ac:dyDescent="0.25">
      <c r="A209" s="102" t="s">
        <v>226</v>
      </c>
      <c r="B209" s="102"/>
      <c r="C209" s="102"/>
      <c r="D209" s="102"/>
      <c r="E209" s="102"/>
      <c r="F209" s="102"/>
      <c r="G209" s="102"/>
      <c r="H209" s="103" t="s">
        <v>2</v>
      </c>
      <c r="I209" s="103"/>
      <c r="J209" s="103"/>
    </row>
    <row r="210" spans="1:17" x14ac:dyDescent="0.25">
      <c r="A210" s="103" t="s">
        <v>3</v>
      </c>
      <c r="B210" s="102"/>
      <c r="C210" s="102"/>
      <c r="D210" s="102"/>
      <c r="E210" s="102"/>
      <c r="F210" s="102"/>
      <c r="G210" s="102"/>
      <c r="H210" s="103" t="s">
        <v>241</v>
      </c>
      <c r="I210" s="103"/>
      <c r="J210" s="103"/>
    </row>
    <row r="211" spans="1:17" x14ac:dyDescent="0.25">
      <c r="A211" s="8" t="s">
        <v>5</v>
      </c>
      <c r="B211" s="8"/>
      <c r="C211" s="8"/>
      <c r="D211" s="8"/>
      <c r="E211" s="67"/>
      <c r="F211" s="8"/>
      <c r="G211" s="68"/>
      <c r="H211" s="69"/>
      <c r="I211" s="7">
        <f>SUM(F213:F264)</f>
        <v>14133</v>
      </c>
      <c r="J211" s="70" t="s">
        <v>6</v>
      </c>
      <c r="K211" s="6">
        <f>SUBTOTAL(9,K213:K356)</f>
        <v>5508.85</v>
      </c>
      <c r="L211" s="6">
        <f>SUBTOTAL(9,L213:L356)</f>
        <v>0</v>
      </c>
      <c r="M211" s="6">
        <f t="shared" ref="M211:P211" si="5">SUBTOTAL(9,M213:M356)</f>
        <v>936</v>
      </c>
      <c r="N211" s="6">
        <f t="shared" si="5"/>
        <v>0</v>
      </c>
      <c r="O211" s="6">
        <f t="shared" si="5"/>
        <v>0</v>
      </c>
      <c r="P211" s="6">
        <f t="shared" si="5"/>
        <v>0</v>
      </c>
      <c r="Q211" s="6">
        <f>I211-SUM(Q213:Q218)</f>
        <v>6444.85</v>
      </c>
    </row>
    <row r="212" spans="1:17" ht="51" x14ac:dyDescent="0.25">
      <c r="A212" s="11" t="s">
        <v>14</v>
      </c>
      <c r="B212" s="106" t="s">
        <v>15</v>
      </c>
      <c r="C212" s="12" t="s">
        <v>16</v>
      </c>
      <c r="D212" s="13" t="s">
        <v>17</v>
      </c>
      <c r="E212" s="14" t="s">
        <v>18</v>
      </c>
      <c r="F212" s="15" t="s">
        <v>19</v>
      </c>
      <c r="G212" s="14" t="s">
        <v>20</v>
      </c>
      <c r="H212" s="14" t="s">
        <v>21</v>
      </c>
      <c r="I212" s="14" t="s">
        <v>22</v>
      </c>
      <c r="J212" s="71" t="s">
        <v>23</v>
      </c>
      <c r="K212" s="9" t="s">
        <v>7</v>
      </c>
      <c r="L212" s="9" t="s">
        <v>8</v>
      </c>
      <c r="M212" s="9" t="s">
        <v>9</v>
      </c>
      <c r="N212" s="9" t="s">
        <v>10</v>
      </c>
      <c r="O212" s="9" t="s">
        <v>11</v>
      </c>
      <c r="P212" s="9" t="s">
        <v>12</v>
      </c>
      <c r="Q212" s="10" t="s">
        <v>13</v>
      </c>
    </row>
    <row r="213" spans="1:17" x14ac:dyDescent="0.25">
      <c r="A213" s="11">
        <v>1</v>
      </c>
      <c r="B213" s="107" t="s">
        <v>28</v>
      </c>
      <c r="C213" s="73" t="s">
        <v>25</v>
      </c>
      <c r="D213" s="19">
        <v>350106</v>
      </c>
      <c r="E213" s="94" t="s">
        <v>29</v>
      </c>
      <c r="F213" s="80">
        <v>2537</v>
      </c>
      <c r="G213" s="76" t="s">
        <v>30</v>
      </c>
      <c r="H213" s="77">
        <v>43076</v>
      </c>
      <c r="I213" s="77">
        <v>43465</v>
      </c>
      <c r="J213" s="71"/>
      <c r="K213" s="25">
        <f>IF(G213="გამ. შესყიდვა",SUMIFS('[1]გამარტივებული შესყიდვა'!L:L,'[1]გამარტივებული შესყიდვა'!K:K,B213,'[1]გამარტივებული შესყიდვა'!N:N,"გრანტი",'[1]გამარტივებული შესყიდვა'!O:O,"350106"),0)</f>
        <v>0</v>
      </c>
      <c r="L213" s="25">
        <f>IF(G213="გამ. შესყიდვა",SUMIFS('[1]გამარტივებული შესყიდვა'!L:L,'[1]გამარტივებული შესყიდვა'!K:K,B213,'[1]გამარტივებული შესყიდვა'!N:N,"გრანტი",'[1]გამარტივებული შესყიდვა'!O:O,"3503030702"),0)</f>
        <v>0</v>
      </c>
      <c r="M213" s="25">
        <f>IF(G213="კონს. ტენდერი",SUMIFS('[1]კონსოლიდირებული ტენდერი'!L:L,'[1]კონსოლიდირებული ტენდერი'!E:E,B213,'[1]კონსოლიდირებული ტენდერი'!N:N,"გრანტი",'[1]კონსოლიდირებული ტენდერი'!O:O,"350106"),0)</f>
        <v>936</v>
      </c>
      <c r="N213" s="25">
        <f>IF(G213="კონს. ტენდერი",SUMIFS('[1]კონსოლიდირებული ტენდერი'!L:L,'[1]კონსოლიდირებული ტენდერი'!E:E,B213,'[1]კონსოლიდირებული ტენდერი'!N:N,"გრანტი",'[1]კონსოლიდირებული ტენდერი'!O:O,"3503030702"),0)</f>
        <v>0</v>
      </c>
      <c r="O213" s="25">
        <f>IF(G213="ელ. ტენდერი",SUMIFS('[1]ელ. ტენდერი'!N:N,'[1]ელ. ტენდერი'!G:G,'30.05.2018'!B213,'[1]ელ. ტენდერი'!Q:Q,"გრანტი",'[1]ელ. ტენდერი'!R:R,"350106"),0)</f>
        <v>0</v>
      </c>
      <c r="P213" s="25">
        <f>IF(G213="ელ. ტენდერი",SUMIFS('[1]ელ. ტენდერი'!N:N,'[1]ელ. ტენდერი'!G:G,'30.05.2018'!B213,'[1]ელ. ტენდერი'!Q:Q,"გრანტი",'[1]ელ. ტენდერი'!R:R,"3503030702"),0)</f>
        <v>0</v>
      </c>
      <c r="Q213" s="26">
        <f>F213-(SUM(K213:P213))</f>
        <v>1601</v>
      </c>
    </row>
    <row r="214" spans="1:17" x14ac:dyDescent="0.25">
      <c r="A214" s="11">
        <v>2</v>
      </c>
      <c r="B214" s="107" t="s">
        <v>154</v>
      </c>
      <c r="C214" s="73" t="s">
        <v>25</v>
      </c>
      <c r="D214" s="19">
        <v>350106</v>
      </c>
      <c r="E214" s="94" t="s">
        <v>155</v>
      </c>
      <c r="F214" s="80">
        <v>4000</v>
      </c>
      <c r="G214" s="76" t="s">
        <v>27</v>
      </c>
      <c r="H214" s="77">
        <v>43248</v>
      </c>
      <c r="I214" s="77">
        <v>43465</v>
      </c>
      <c r="J214" s="71"/>
      <c r="K214" s="25">
        <f>IF(G214="გამ. შესყიდვა",SUMIFS('[1]გამარტივებული შესყიდვა'!L:L,'[1]გამარტივებული შესყიდვა'!K:K,B214,'[1]გამარტივებული შესყიდვა'!N:N,"გრანტი",'[1]გამარტივებული შესყიდვა'!O:O,"350106"),0)</f>
        <v>0</v>
      </c>
      <c r="L214" s="25">
        <f>IF(G214="გამ. შესყიდვა",SUMIFS('[1]გამარტივებული შესყიდვა'!L:L,'[1]გამარტივებული შესყიდვა'!K:K,B214,'[1]გამარტივებული შესყიდვა'!N:N,"გრანტი",'[1]გამარტივებული შესყიდვა'!O:O,"3503030702"),0)</f>
        <v>0</v>
      </c>
      <c r="M214" s="25">
        <f>IF(G214="კონს. ტენდერი",SUMIFS('[1]კონსოლიდირებული ტენდერი'!L:L,'[1]კონსოლიდირებული ტენდერი'!E:E,B214,'[1]კონსოლიდირებული ტენდერი'!N:N,"გრანტი",'[1]კონსოლიდირებული ტენდერი'!O:O,"350106"),0)</f>
        <v>0</v>
      </c>
      <c r="N214" s="25">
        <f>IF(G214="კონს. ტენდერი",SUMIFS('[1]კონსოლიდირებული ტენდერი'!L:L,'[1]კონსოლიდირებული ტენდერი'!E:E,B214,'[1]კონსოლიდირებული ტენდერი'!N:N,"გრანტი",'[1]კონსოლიდირებული ტენდერი'!O:O,"3503030702"),0)</f>
        <v>0</v>
      </c>
      <c r="O214" s="25">
        <f>IF(G214="ელ. ტენდერი",SUMIFS('[1]ელ. ტენდერი'!N:N,'[1]ელ. ტენდერი'!G:G,'30.05.2018'!B214,'[1]ელ. ტენდერი'!Q:Q,"გრანტი",'[1]ელ. ტენდერი'!R:R,"350106"),0)</f>
        <v>0</v>
      </c>
      <c r="P214" s="25">
        <f>IF(G214="ელ. ტენდერი",SUMIFS('[1]ელ. ტენდერი'!N:N,'[1]ელ. ტენდერი'!G:G,'30.05.2018'!B214,'[1]ელ. ტენდერი'!Q:Q,"გრანტი",'[1]ელ. ტენდერი'!R:R,"3503030702"),0)</f>
        <v>0</v>
      </c>
      <c r="Q214" s="26">
        <f t="shared" ref="Q214:Q218" si="6">F214-(SUM(K214:P214))</f>
        <v>4000</v>
      </c>
    </row>
    <row r="215" spans="1:17" x14ac:dyDescent="0.25">
      <c r="A215" s="11">
        <v>3</v>
      </c>
      <c r="B215" s="81" t="s">
        <v>171</v>
      </c>
      <c r="C215" s="73" t="s">
        <v>25</v>
      </c>
      <c r="D215" s="19">
        <v>350106</v>
      </c>
      <c r="E215" s="22" t="s">
        <v>240</v>
      </c>
      <c r="F215" s="95">
        <v>3960</v>
      </c>
      <c r="G215" s="76" t="s">
        <v>27</v>
      </c>
      <c r="H215" s="77">
        <v>43076</v>
      </c>
      <c r="I215" s="77">
        <v>43465</v>
      </c>
      <c r="J215" s="96"/>
      <c r="K215" s="25">
        <f>IF(G215="გამ. შესყიდვა",SUMIFS('[1]გამარტივებული შესყიდვა'!L:L,'[1]გამარტივებული შესყიდვა'!K:K,B215,'[1]გამარტივებული შესყიდვა'!N:N,"გრანტი",'[1]გამარტივებული შესყიდვა'!O:O,"350106"),0)</f>
        <v>3960</v>
      </c>
      <c r="L215" s="25">
        <f>IF(G215="გამ. შესყიდვა",SUMIFS('[1]გამარტივებული შესყიდვა'!L:L,'[1]გამარტივებული შესყიდვა'!K:K,B215,'[1]გამარტივებული შესყიდვა'!N:N,"გრანტი",'[1]გამარტივებული შესყიდვა'!O:O,"3503030702"),0)</f>
        <v>0</v>
      </c>
      <c r="M215" s="25">
        <f>IF(G215="კონს. ტენდერი",SUMIFS('[1]კონსოლიდირებული ტენდერი'!L:L,'[1]კონსოლიდირებული ტენდერი'!E:E,B215,'[1]კონსოლიდირებული ტენდერი'!N:N,"გრანტი",'[1]კონსოლიდირებული ტენდერი'!O:O,"350106"),0)</f>
        <v>0</v>
      </c>
      <c r="N215" s="25">
        <f>IF(G215="კონს. ტენდერი",SUMIFS('[1]კონსოლიდირებული ტენდერი'!L:L,'[1]კონსოლიდირებული ტენდერი'!E:E,B215,'[1]კონსოლიდირებული ტენდერი'!N:N,"გრანტი",'[1]კონსოლიდირებული ტენდერი'!O:O,"3503030702"),0)</f>
        <v>0</v>
      </c>
      <c r="O215" s="25">
        <f>IF(G215="ელ. ტენდერი",SUMIFS('[1]ელ. ტენდერი'!N:N,'[1]ელ. ტენდერი'!G:G,'30.05.2018'!B215,'[1]ელ. ტენდერი'!Q:Q,"გრანტი",'[1]ელ. ტენდერი'!R:R,"350106"),0)</f>
        <v>0</v>
      </c>
      <c r="P215" s="25">
        <f>IF(G215="ელ. ტენდერი",SUMIFS('[1]ელ. ტენდერი'!N:N,'[1]ელ. ტენდერი'!G:G,'30.05.2018'!B215,'[1]ელ. ტენდერი'!Q:Q,"გრანტი",'[1]ელ. ტენდერი'!R:R,"3503030702"),0)</f>
        <v>0</v>
      </c>
      <c r="Q215" s="26">
        <f t="shared" si="6"/>
        <v>0</v>
      </c>
    </row>
    <row r="216" spans="1:17" x14ac:dyDescent="0.25">
      <c r="A216" s="11">
        <v>4</v>
      </c>
      <c r="B216" s="81" t="s">
        <v>199</v>
      </c>
      <c r="C216" s="73" t="s">
        <v>25</v>
      </c>
      <c r="D216" s="31">
        <v>350106</v>
      </c>
      <c r="E216" s="94" t="s">
        <v>200</v>
      </c>
      <c r="F216" s="37">
        <v>136</v>
      </c>
      <c r="G216" s="22" t="s">
        <v>27</v>
      </c>
      <c r="H216" s="77">
        <v>43076</v>
      </c>
      <c r="I216" s="77">
        <v>43465</v>
      </c>
      <c r="J216" s="96"/>
      <c r="K216" s="25">
        <f>IF(G216="გამ. შესყიდვა",SUMIFS('[1]გამარტივებული შესყიდვა'!L:L,'[1]გამარტივებული შესყიდვა'!K:K,B216,'[1]გამარტივებული შესყიდვა'!N:N,"გრანტი",'[1]გამარტივებული შესყიდვა'!O:O,"350106"),0)</f>
        <v>46.5</v>
      </c>
      <c r="L216" s="25">
        <f>IF(G216="გამ. შესყიდვა",SUMIFS('[1]გამარტივებული შესყიდვა'!L:L,'[1]გამარტივებული შესყიდვა'!K:K,B216,'[1]გამარტივებული შესყიდვა'!N:N,"გრანტი",'[1]გამარტივებული შესყიდვა'!O:O,"3503030702"),0)</f>
        <v>0</v>
      </c>
      <c r="M216" s="25">
        <f>IF(G216="კონს. ტენდერი",SUMIFS('[1]კონსოლიდირებული ტენდერი'!L:L,'[1]კონსოლიდირებული ტენდერი'!E:E,B216,'[1]კონსოლიდირებული ტენდერი'!N:N,"გრანტი",'[1]კონსოლიდირებული ტენდერი'!O:O,"350106"),0)</f>
        <v>0</v>
      </c>
      <c r="N216" s="25">
        <f>IF(G216="კონს. ტენდერი",SUMIFS('[1]კონსოლიდირებული ტენდერი'!L:L,'[1]კონსოლიდირებული ტენდერი'!E:E,B216,'[1]კონსოლიდირებული ტენდერი'!N:N,"გრანტი",'[1]კონსოლიდირებული ტენდერი'!O:O,"3503030702"),0)</f>
        <v>0</v>
      </c>
      <c r="O216" s="25">
        <f>IF(G216="ელ. ტენდერი",SUMIFS('[1]ელ. ტენდერი'!N:N,'[1]ელ. ტენდერი'!G:G,'30.05.2018'!B216,'[1]ელ. ტენდერი'!Q:Q,"გრანტი",'[1]ელ. ტენდერი'!R:R,"350106"),0)</f>
        <v>0</v>
      </c>
      <c r="P216" s="25">
        <f>IF(G216="ელ. ტენდერი",SUMIFS('[1]ელ. ტენდერი'!N:N,'[1]ელ. ტენდერი'!G:G,'30.05.2018'!B216,'[1]ელ. ტენდერი'!Q:Q,"გრანტი",'[1]ელ. ტენდერი'!R:R,"3503030702"),0)</f>
        <v>0</v>
      </c>
      <c r="Q216" s="26">
        <f t="shared" si="6"/>
        <v>89.5</v>
      </c>
    </row>
    <row r="217" spans="1:17" x14ac:dyDescent="0.25">
      <c r="A217" s="11">
        <v>5</v>
      </c>
      <c r="B217" s="81" t="s">
        <v>203</v>
      </c>
      <c r="C217" s="73" t="s">
        <v>25</v>
      </c>
      <c r="D217" s="31">
        <v>350106</v>
      </c>
      <c r="E217" s="94" t="s">
        <v>204</v>
      </c>
      <c r="F217" s="95">
        <v>400</v>
      </c>
      <c r="G217" s="22" t="s">
        <v>27</v>
      </c>
      <c r="H217" s="77">
        <v>43076</v>
      </c>
      <c r="I217" s="77">
        <v>43465</v>
      </c>
      <c r="J217" s="96"/>
      <c r="K217" s="25">
        <f>IF(G217="გამ. შესყიდვა",SUMIFS('[1]გამარტივებული შესყიდვა'!L:L,'[1]გამარტივებული შესყიდვა'!K:K,B217,'[1]გამარტივებული შესყიდვა'!N:N,"გრანტი",'[1]გამარტივებული შესყიდვა'!O:O,"350106"),0)</f>
        <v>100</v>
      </c>
      <c r="L217" s="25">
        <f>IF(G217="გამ. შესყიდვა",SUMIFS('[1]გამარტივებული შესყიდვა'!L:L,'[1]გამარტივებული შესყიდვა'!K:K,B217,'[1]გამარტივებული შესყიდვა'!N:N,"გრანტი",'[1]გამარტივებული შესყიდვა'!O:O,"3503030702"),0)</f>
        <v>0</v>
      </c>
      <c r="M217" s="25">
        <f>IF(G217="კონს. ტენდერი",SUMIFS('[1]კონსოლიდირებული ტენდერი'!L:L,'[1]კონსოლიდირებული ტენდერი'!E:E,B217,'[1]კონსოლიდირებული ტენდერი'!N:N,"გრანტი",'[1]კონსოლიდირებული ტენდერი'!O:O,"350106"),0)</f>
        <v>0</v>
      </c>
      <c r="N217" s="25">
        <f>IF(G217="კონს. ტენდერი",SUMIFS('[1]კონსოლიდირებული ტენდერი'!L:L,'[1]კონსოლიდირებული ტენდერი'!E:E,B217,'[1]კონსოლიდირებული ტენდერი'!N:N,"გრანტი",'[1]კონსოლიდირებული ტენდერი'!O:O,"3503030702"),0)</f>
        <v>0</v>
      </c>
      <c r="O217" s="25">
        <f>IF(G217="ელ. ტენდერი",SUMIFS('[1]ელ. ტენდერი'!N:N,'[1]ელ. ტენდერი'!G:G,'30.05.2018'!B217,'[1]ელ. ტენდერი'!Q:Q,"გრანტი",'[1]ელ. ტენდერი'!R:R,"350106"),0)</f>
        <v>0</v>
      </c>
      <c r="P217" s="25">
        <f>IF(G217="ელ. ტენდერი",SUMIFS('[1]ელ. ტენდერი'!N:N,'[1]ელ. ტენდერი'!G:G,'30.05.2018'!B217,'[1]ელ. ტენდერი'!Q:Q,"გრანტი",'[1]ელ. ტენდერი'!R:R,"3503030702"),0)</f>
        <v>0</v>
      </c>
      <c r="Q217" s="26">
        <f t="shared" si="6"/>
        <v>300</v>
      </c>
    </row>
    <row r="218" spans="1:17" x14ac:dyDescent="0.25">
      <c r="A218" s="11">
        <v>6</v>
      </c>
      <c r="B218" s="81" t="s">
        <v>208</v>
      </c>
      <c r="C218" s="18" t="s">
        <v>25</v>
      </c>
      <c r="D218" s="19">
        <v>350106</v>
      </c>
      <c r="E218" s="22" t="s">
        <v>209</v>
      </c>
      <c r="F218" s="95">
        <v>3100</v>
      </c>
      <c r="G218" s="76" t="s">
        <v>27</v>
      </c>
      <c r="H218" s="77">
        <v>43132</v>
      </c>
      <c r="I218" s="77">
        <v>43465</v>
      </c>
      <c r="J218" s="96"/>
      <c r="K218" s="25">
        <f>IF(G218="გამ. შესყიდვა",SUMIFS('[1]გამარტივებული შესყიდვა'!L:L,'[1]გამარტივებული შესყიდვა'!K:K,B218,'[1]გამარტივებული შესყიდვა'!N:N,"გრანტი",'[1]გამარტივებული შესყიდვა'!O:O,"350106"),0)</f>
        <v>1402.35</v>
      </c>
      <c r="L218" s="25">
        <f>IF(G218="გამ. შესყიდვა",SUMIFS('[1]გამარტივებული შესყიდვა'!L:L,'[1]გამარტივებული შესყიდვა'!K:K,B218,'[1]გამარტივებული შესყიდვა'!N:N,"გრანტი",'[1]გამარტივებული შესყიდვა'!O:O,"3503030702"),0)</f>
        <v>0</v>
      </c>
      <c r="M218" s="25">
        <f>IF(G218="კონს. ტენდერი",SUMIFS('[1]კონსოლიდირებული ტენდერი'!L:L,'[1]კონსოლიდირებული ტენდერი'!E:E,B218,'[1]კონსოლიდირებული ტენდერი'!N:N,"გრანტი",'[1]კონსოლიდირებული ტენდერი'!O:O,"350106"),0)</f>
        <v>0</v>
      </c>
      <c r="N218" s="25">
        <f>IF(G218="კონს. ტენდერი",SUMIFS('[1]კონსოლიდირებული ტენდერი'!L:L,'[1]კონსოლიდირებული ტენდერი'!E:E,B218,'[1]კონსოლიდირებული ტენდერი'!N:N,"გრანტი",'[1]კონსოლიდირებული ტენდერი'!O:O,"3503030702"),0)</f>
        <v>0</v>
      </c>
      <c r="O218" s="25">
        <f>IF(G218="ელ. ტენდერი",SUMIFS('[1]ელ. ტენდერი'!N:N,'[1]ელ. ტენდერი'!G:G,'30.05.2018'!B218,'[1]ელ. ტენდერი'!Q:Q,"გრანტი",'[1]ელ. ტენდერი'!R:R,"350106"),0)</f>
        <v>0</v>
      </c>
      <c r="P218" s="25">
        <f>IF(G218="ელ. ტენდერი",SUMIFS('[1]ელ. ტენდერი'!N:N,'[1]ელ. ტენდერი'!G:G,'30.05.2018'!B218,'[1]ელ. ტენდერი'!Q:Q,"გრანტი",'[1]ელ. ტენდერი'!R:R,"3503030702"),0)</f>
        <v>0</v>
      </c>
      <c r="Q218" s="26">
        <f t="shared" si="6"/>
        <v>1697.65</v>
      </c>
    </row>
    <row r="219" spans="1:17" x14ac:dyDescent="0.25">
      <c r="I219" s="77"/>
      <c r="J219" s="91"/>
    </row>
    <row r="220" spans="1:17" x14ac:dyDescent="0.25">
      <c r="J220" s="91"/>
    </row>
    <row r="221" spans="1:17" x14ac:dyDescent="0.25">
      <c r="J221" s="91"/>
    </row>
    <row r="222" spans="1:17" x14ac:dyDescent="0.25">
      <c r="J222" s="91"/>
    </row>
    <row r="223" spans="1:17" x14ac:dyDescent="0.25">
      <c r="J223" s="91"/>
    </row>
    <row r="224" spans="1:17" x14ac:dyDescent="0.25">
      <c r="J224" s="91"/>
    </row>
    <row r="225" spans="1:18" x14ac:dyDescent="0.25">
      <c r="J225" s="91"/>
    </row>
    <row r="226" spans="1:18" x14ac:dyDescent="0.25">
      <c r="J226" s="91"/>
    </row>
    <row r="227" spans="1:18" x14ac:dyDescent="0.25">
      <c r="J227" s="91"/>
    </row>
    <row r="228" spans="1:18" s="63" customFormat="1" x14ac:dyDescent="0.25">
      <c r="A228" s="89"/>
      <c r="B228" s="108"/>
      <c r="C228" s="97"/>
      <c r="D228" s="98"/>
      <c r="E228" s="99"/>
      <c r="F228" s="100"/>
      <c r="G228" s="90"/>
      <c r="H228" s="3"/>
      <c r="I228" s="3"/>
      <c r="J228" s="91"/>
      <c r="R228" s="3"/>
    </row>
    <row r="229" spans="1:18" s="63" customFormat="1" x14ac:dyDescent="0.25">
      <c r="A229" s="89"/>
      <c r="B229" s="108"/>
      <c r="C229" s="97"/>
      <c r="D229" s="98"/>
      <c r="E229" s="99"/>
      <c r="F229" s="100"/>
      <c r="G229" s="90"/>
      <c r="H229" s="3"/>
      <c r="I229" s="3"/>
      <c r="J229" s="91"/>
      <c r="R229" s="3"/>
    </row>
    <row r="230" spans="1:18" s="63" customFormat="1" x14ac:dyDescent="0.25">
      <c r="A230" s="89"/>
      <c r="B230" s="108"/>
      <c r="C230" s="97"/>
      <c r="D230" s="98"/>
      <c r="E230" s="99"/>
      <c r="F230" s="100"/>
      <c r="G230" s="90"/>
      <c r="H230" s="3"/>
      <c r="I230" s="3"/>
      <c r="J230" s="91"/>
    </row>
    <row r="231" spans="1:18" s="63" customFormat="1" x14ac:dyDescent="0.25">
      <c r="A231" s="89"/>
      <c r="B231" s="108"/>
      <c r="C231" s="97"/>
      <c r="D231" s="98"/>
      <c r="E231" s="99"/>
      <c r="F231" s="100"/>
      <c r="G231" s="90"/>
      <c r="H231" s="3"/>
      <c r="I231" s="3"/>
      <c r="J231" s="91"/>
    </row>
    <row r="232" spans="1:18" s="63" customFormat="1" x14ac:dyDescent="0.25">
      <c r="A232" s="89"/>
      <c r="B232" s="108"/>
      <c r="C232" s="97"/>
      <c r="D232" s="98"/>
      <c r="E232" s="99"/>
      <c r="F232" s="100"/>
      <c r="G232" s="90"/>
      <c r="H232" s="3"/>
      <c r="I232" s="3"/>
      <c r="J232" s="91"/>
    </row>
    <row r="233" spans="1:18" s="63" customFormat="1" x14ac:dyDescent="0.25">
      <c r="A233" s="89"/>
      <c r="B233" s="108"/>
      <c r="C233" s="97"/>
      <c r="D233" s="98"/>
      <c r="E233" s="99"/>
      <c r="F233" s="100"/>
      <c r="G233" s="90"/>
      <c r="H233" s="3"/>
      <c r="I233" s="3"/>
      <c r="J233" s="91"/>
    </row>
    <row r="234" spans="1:18" s="63" customFormat="1" x14ac:dyDescent="0.25">
      <c r="A234" s="89"/>
      <c r="B234" s="108"/>
      <c r="C234" s="97"/>
      <c r="D234" s="98"/>
      <c r="E234" s="99"/>
      <c r="F234" s="100"/>
      <c r="G234" s="90"/>
      <c r="H234" s="3"/>
      <c r="I234" s="3"/>
      <c r="J234" s="91"/>
    </row>
    <row r="235" spans="1:18" s="63" customFormat="1" x14ac:dyDescent="0.25">
      <c r="A235" s="89"/>
      <c r="B235" s="108"/>
      <c r="C235" s="97"/>
      <c r="D235" s="98"/>
      <c r="E235" s="99"/>
      <c r="F235" s="100"/>
      <c r="G235" s="90"/>
      <c r="H235" s="3"/>
      <c r="I235" s="3"/>
      <c r="J235" s="91"/>
    </row>
    <row r="236" spans="1:18" s="63" customFormat="1" x14ac:dyDescent="0.25">
      <c r="A236" s="89"/>
      <c r="B236" s="108"/>
      <c r="C236" s="97"/>
      <c r="D236" s="98"/>
      <c r="E236" s="99"/>
      <c r="F236" s="100"/>
      <c r="G236" s="90"/>
      <c r="H236" s="3"/>
      <c r="I236" s="3"/>
      <c r="J236" s="91"/>
    </row>
    <row r="237" spans="1:18" s="63" customFormat="1" x14ac:dyDescent="0.25">
      <c r="A237" s="89"/>
      <c r="B237" s="108"/>
      <c r="C237" s="97"/>
      <c r="D237" s="98"/>
      <c r="E237" s="99"/>
      <c r="F237" s="100"/>
      <c r="G237" s="90"/>
      <c r="H237" s="3"/>
      <c r="I237" s="3"/>
      <c r="J237" s="91"/>
    </row>
    <row r="238" spans="1:18" s="63" customFormat="1" x14ac:dyDescent="0.25">
      <c r="A238" s="89"/>
      <c r="B238" s="108"/>
      <c r="C238" s="97"/>
      <c r="D238" s="98"/>
      <c r="E238" s="99"/>
      <c r="F238" s="100"/>
      <c r="G238" s="90"/>
      <c r="H238" s="3"/>
      <c r="I238" s="3"/>
      <c r="J238" s="91"/>
    </row>
    <row r="239" spans="1:18" s="63" customFormat="1" x14ac:dyDescent="0.25">
      <c r="A239" s="89"/>
      <c r="B239" s="108"/>
      <c r="C239" s="97"/>
      <c r="D239" s="98"/>
      <c r="E239" s="99"/>
      <c r="F239" s="100"/>
      <c r="G239" s="90"/>
      <c r="H239" s="3"/>
      <c r="I239" s="3"/>
      <c r="J239" s="91"/>
    </row>
    <row r="240" spans="1:18" s="63" customFormat="1" x14ac:dyDescent="0.25">
      <c r="A240" s="89"/>
      <c r="B240" s="108"/>
      <c r="C240" s="97"/>
      <c r="D240" s="98"/>
      <c r="E240" s="99"/>
      <c r="F240" s="100"/>
      <c r="G240" s="90"/>
      <c r="H240" s="3"/>
      <c r="I240" s="3"/>
      <c r="J240" s="91"/>
    </row>
    <row r="241" spans="1:10" s="63" customFormat="1" x14ac:dyDescent="0.25">
      <c r="A241" s="89"/>
      <c r="B241" s="108"/>
      <c r="C241" s="97"/>
      <c r="D241" s="98"/>
      <c r="E241" s="99"/>
      <c r="F241" s="100"/>
      <c r="G241" s="90"/>
      <c r="H241" s="3"/>
      <c r="I241" s="3"/>
      <c r="J241" s="91"/>
    </row>
    <row r="242" spans="1:10" s="63" customFormat="1" x14ac:dyDescent="0.25">
      <c r="A242" s="89"/>
      <c r="B242" s="108"/>
      <c r="C242" s="97"/>
      <c r="D242" s="98"/>
      <c r="E242" s="99"/>
      <c r="F242" s="100"/>
      <c r="G242" s="90"/>
      <c r="H242" s="3"/>
      <c r="I242" s="3"/>
      <c r="J242" s="91"/>
    </row>
    <row r="243" spans="1:10" s="63" customFormat="1" x14ac:dyDescent="0.25">
      <c r="A243" s="89"/>
      <c r="B243" s="108"/>
      <c r="C243" s="97"/>
      <c r="D243" s="98"/>
      <c r="E243" s="99"/>
      <c r="F243" s="100"/>
      <c r="G243" s="90"/>
      <c r="H243" s="3"/>
      <c r="I243" s="3"/>
      <c r="J243" s="91"/>
    </row>
    <row r="244" spans="1:10" s="63" customFormat="1" x14ac:dyDescent="0.25">
      <c r="A244" s="89"/>
      <c r="B244" s="108"/>
      <c r="C244" s="97"/>
      <c r="D244" s="98"/>
      <c r="E244" s="99"/>
      <c r="F244" s="100"/>
      <c r="G244" s="90"/>
      <c r="H244" s="3"/>
      <c r="I244" s="3"/>
      <c r="J244" s="91"/>
    </row>
    <row r="245" spans="1:10" s="63" customFormat="1" x14ac:dyDescent="0.25">
      <c r="A245" s="89"/>
      <c r="B245" s="108"/>
      <c r="C245" s="97"/>
      <c r="D245" s="98"/>
      <c r="E245" s="99"/>
      <c r="F245" s="100"/>
      <c r="G245" s="90"/>
      <c r="H245" s="3"/>
      <c r="I245" s="3"/>
      <c r="J245" s="91"/>
    </row>
    <row r="246" spans="1:10" s="63" customFormat="1" x14ac:dyDescent="0.25">
      <c r="A246" s="89"/>
      <c r="B246" s="108"/>
      <c r="C246" s="97"/>
      <c r="D246" s="98"/>
      <c r="E246" s="99"/>
      <c r="F246" s="100"/>
      <c r="G246" s="90"/>
      <c r="H246" s="3"/>
      <c r="I246" s="3"/>
      <c r="J246" s="91"/>
    </row>
  </sheetData>
  <autoFilter ref="A5:Q134"/>
  <mergeCells count="16">
    <mergeCell ref="A4:H4"/>
    <mergeCell ref="A1:J1"/>
    <mergeCell ref="A2:G2"/>
    <mergeCell ref="H2:J2"/>
    <mergeCell ref="A3:G3"/>
    <mergeCell ref="H3:J3"/>
    <mergeCell ref="A209:G209"/>
    <mergeCell ref="H209:J209"/>
    <mergeCell ref="A210:G210"/>
    <mergeCell ref="H210:J210"/>
    <mergeCell ref="A138:J138"/>
    <mergeCell ref="A139:G139"/>
    <mergeCell ref="H139:J139"/>
    <mergeCell ref="A140:G140"/>
    <mergeCell ref="H140:J140"/>
    <mergeCell ref="A208:J208"/>
  </mergeCells>
  <hyperlinks>
    <hyperlink ref="E173" r:id="rId1" display="https://tenders.procurement.gov.ge/"/>
    <hyperlink ref="E38" r:id="rId2" display="https://tenders.procurement.gov.ge/"/>
  </hyperlinks>
  <pageMargins left="0.7" right="0.7" top="0.75" bottom="0.75" header="0.3" footer="0.3"/>
  <pageSetup paperSize="9" scale="39" fitToHeight="0" orientation="landscape" horizontalDpi="4294967294" verticalDpi="4294967294" r:id="rId3"/>
  <rowBreaks count="3" manualBreakCount="3">
    <brk id="47" max="9" man="1"/>
    <brk id="121" max="9" man="1"/>
    <brk id="20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30.05.2018</vt:lpstr>
      <vt:lpstr>'30.05.2018'!Print_Area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Tavadze</dc:creator>
  <cp:lastModifiedBy>Levan Tavadze</cp:lastModifiedBy>
  <dcterms:created xsi:type="dcterms:W3CDTF">2018-05-30T12:25:26Z</dcterms:created>
  <dcterms:modified xsi:type="dcterms:W3CDTF">2018-05-30T12:26:33Z</dcterms:modified>
</cp:coreProperties>
</file>